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0_Eigene Dateien\Gemeinde\EEG Dfbn\1_NextCloud\11_Marketing\2_Beispielrechnung\"/>
    </mc:Choice>
  </mc:AlternateContent>
  <xr:revisionPtr revIDLastSave="0" documentId="13_ncr:1_{258FE622-EEF2-408D-8286-2C10BD7F788F}" xr6:coauthVersionLast="47" xr6:coauthVersionMax="47" xr10:uidLastSave="{00000000-0000-0000-0000-000000000000}"/>
  <workbookProtection workbookAlgorithmName="SHA-512" workbookHashValue="rXHxgScMOhRg+Zra6ydMSuhI/LQelCo+KljxU96PjxSeSU1i2qz9qgAJP7Yn/YCoEolNELM8/gGulNtqdEjMFA==" workbookSaltValue="OKCLDKuIkZbxUIO5Q99Vpg==" workbookSpinCount="100000" lockStructure="1"/>
  <bookViews>
    <workbookView xWindow="-108" yWindow="-108" windowWidth="30936" windowHeight="16896" xr2:uid="{00000000-000D-0000-FFFF-FFFF00000000}"/>
  </bookViews>
  <sheets>
    <sheet name="Deckblatt" sheetId="1" r:id="rId1"/>
    <sheet name="Detail SAG" sheetId="2" r:id="rId2"/>
    <sheet name="Detail SAG+RED" sheetId="3" r:id="rId3"/>
  </sheets>
  <definedNames>
    <definedName name="_xlnm.Print_Area" localSheetId="0">Deckblatt!$A$1:$L$28</definedName>
    <definedName name="_xlnm.Print_Area" localSheetId="1">'Detail SAG'!$A$1:$I$46</definedName>
    <definedName name="_xlnm.Print_Area" localSheetId="2">'Detail SAG+RED'!$A$1:$Q$48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C35" i="2"/>
  <c r="B35" i="2"/>
  <c r="F23" i="2"/>
  <c r="F23" i="3" s="1"/>
  <c r="F37" i="3"/>
  <c r="F36" i="3"/>
  <c r="M36" i="3" s="1"/>
  <c r="F34" i="3"/>
  <c r="F33" i="3"/>
  <c r="F32" i="3"/>
  <c r="B33" i="3"/>
  <c r="C34" i="2"/>
  <c r="B34" i="2"/>
  <c r="C33" i="2"/>
  <c r="D33" i="2" s="1"/>
  <c r="B33" i="2"/>
  <c r="C32" i="2"/>
  <c r="D32" i="2" s="1"/>
  <c r="B32" i="2"/>
  <c r="C13" i="3"/>
  <c r="C18" i="3" s="1"/>
  <c r="B13" i="3"/>
  <c r="B36" i="3" s="1"/>
  <c r="F27" i="3"/>
  <c r="F28" i="3"/>
  <c r="M28" i="3" s="1"/>
  <c r="F26" i="3"/>
  <c r="I24" i="1"/>
  <c r="K24" i="1" s="1"/>
  <c r="F18" i="3"/>
  <c r="F17" i="3"/>
  <c r="D13" i="3"/>
  <c r="O12" i="3"/>
  <c r="H12" i="3" s="1"/>
  <c r="E17" i="1"/>
  <c r="B29" i="3"/>
  <c r="B28" i="3"/>
  <c r="B27" i="3"/>
  <c r="B23" i="3"/>
  <c r="B18" i="3"/>
  <c r="C17" i="3"/>
  <c r="F29" i="2"/>
  <c r="F29" i="3" s="1"/>
  <c r="C37" i="2"/>
  <c r="B37" i="2"/>
  <c r="C36" i="2"/>
  <c r="B36" i="2"/>
  <c r="B27" i="2"/>
  <c r="C27" i="2"/>
  <c r="B28" i="2"/>
  <c r="C28" i="2"/>
  <c r="B29" i="2"/>
  <c r="C29" i="2"/>
  <c r="D29" i="2" s="1"/>
  <c r="H29" i="2" s="1"/>
  <c r="C26" i="2"/>
  <c r="B26" i="2"/>
  <c r="C23" i="2"/>
  <c r="B23" i="2"/>
  <c r="C17" i="2"/>
  <c r="C18" i="2"/>
  <c r="B18" i="2"/>
  <c r="B17" i="2"/>
  <c r="F13" i="2"/>
  <c r="D37" i="2" s="1"/>
  <c r="H37" i="2" s="1"/>
  <c r="D35" i="2" l="1"/>
  <c r="H35" i="2" s="1"/>
  <c r="C35" i="3"/>
  <c r="H32" i="2"/>
  <c r="D32" i="3"/>
  <c r="K32" i="3" s="1"/>
  <c r="O32" i="3" s="1"/>
  <c r="H33" i="2"/>
  <c r="D33" i="3"/>
  <c r="K33" i="3" s="1"/>
  <c r="O33" i="3" s="1"/>
  <c r="C34" i="3"/>
  <c r="C32" i="3"/>
  <c r="B34" i="3"/>
  <c r="B32" i="3"/>
  <c r="D26" i="2"/>
  <c r="H26" i="2" s="1"/>
  <c r="B17" i="3"/>
  <c r="B26" i="3"/>
  <c r="B37" i="3"/>
  <c r="C33" i="3"/>
  <c r="C28" i="3"/>
  <c r="D34" i="2"/>
  <c r="H34" i="2" s="1"/>
  <c r="D18" i="2"/>
  <c r="H18" i="2" s="1"/>
  <c r="C26" i="3"/>
  <c r="C23" i="3"/>
  <c r="C36" i="3"/>
  <c r="D18" i="3"/>
  <c r="H18" i="3" s="1"/>
  <c r="C27" i="3"/>
  <c r="C29" i="3"/>
  <c r="D29" i="3" s="1"/>
  <c r="H29" i="3" s="1"/>
  <c r="C37" i="3"/>
  <c r="K18" i="3"/>
  <c r="D36" i="2"/>
  <c r="H36" i="2" s="1"/>
  <c r="D27" i="2"/>
  <c r="H27" i="2" s="1"/>
  <c r="E13" i="2"/>
  <c r="E13" i="3" s="1"/>
  <c r="F13" i="3" s="1"/>
  <c r="D28" i="2"/>
  <c r="H28" i="2" s="1"/>
  <c r="D17" i="2"/>
  <c r="H32" i="3" l="1"/>
  <c r="O18" i="3"/>
  <c r="D26" i="3"/>
  <c r="K26" i="3" s="1"/>
  <c r="O26" i="3" s="1"/>
  <c r="H33" i="3"/>
  <c r="H38" i="2"/>
  <c r="D10" i="1" s="1"/>
  <c r="F10" i="1" s="1"/>
  <c r="K29" i="3"/>
  <c r="O29" i="3" s="1"/>
  <c r="H30" i="2"/>
  <c r="D9" i="1" s="1"/>
  <c r="F9" i="1" s="1"/>
  <c r="M13" i="3"/>
  <c r="K35" i="3" s="1"/>
  <c r="O35" i="3" s="1"/>
  <c r="H23" i="2"/>
  <c r="H24" i="2" s="1"/>
  <c r="H44" i="2" s="1"/>
  <c r="H17" i="2"/>
  <c r="H26" i="3" l="1"/>
  <c r="D17" i="3"/>
  <c r="K34" i="3"/>
  <c r="O34" i="3" s="1"/>
  <c r="O17" i="3"/>
  <c r="O22" i="3" s="1"/>
  <c r="I20" i="1" s="1"/>
  <c r="K20" i="1" s="1"/>
  <c r="K37" i="3"/>
  <c r="O37" i="3" s="1"/>
  <c r="K28" i="3"/>
  <c r="O28" i="3" s="1"/>
  <c r="K36" i="3"/>
  <c r="O36" i="3" s="1"/>
  <c r="K27" i="3"/>
  <c r="O27" i="3" s="1"/>
  <c r="K17" i="3"/>
  <c r="H20" i="1" s="1"/>
  <c r="H20" i="2"/>
  <c r="H19" i="2"/>
  <c r="H21" i="2"/>
  <c r="D12" i="1"/>
  <c r="F12" i="1" s="1"/>
  <c r="C20" i="1" l="1"/>
  <c r="D35" i="3"/>
  <c r="H35" i="3" s="1"/>
  <c r="D28" i="3"/>
  <c r="H28" i="3" s="1"/>
  <c r="D27" i="3"/>
  <c r="H27" i="3" s="1"/>
  <c r="H17" i="3"/>
  <c r="H20" i="3" s="1"/>
  <c r="O38" i="3"/>
  <c r="I22" i="1" s="1"/>
  <c r="K22" i="1" s="1"/>
  <c r="D34" i="3"/>
  <c r="H34" i="3" s="1"/>
  <c r="D37" i="3"/>
  <c r="H37" i="3" s="1"/>
  <c r="D36" i="3"/>
  <c r="H36" i="3" s="1"/>
  <c r="D23" i="3"/>
  <c r="H23" i="3" s="1"/>
  <c r="H24" i="3" s="1"/>
  <c r="H44" i="3" s="1"/>
  <c r="O30" i="3"/>
  <c r="H22" i="2"/>
  <c r="H41" i="2" s="1"/>
  <c r="H38" i="3" l="1"/>
  <c r="D22" i="1" s="1"/>
  <c r="F22" i="1" s="1"/>
  <c r="H19" i="3"/>
  <c r="H30" i="3"/>
  <c r="D21" i="1" s="1"/>
  <c r="F21" i="1" s="1"/>
  <c r="D24" i="1"/>
  <c r="F24" i="1" s="1"/>
  <c r="H21" i="3"/>
  <c r="I21" i="1"/>
  <c r="O41" i="3"/>
  <c r="D8" i="1"/>
  <c r="H42" i="2"/>
  <c r="H43" i="2" s="1"/>
  <c r="H45" i="2" s="1"/>
  <c r="L22" i="1" l="1"/>
  <c r="H22" i="3"/>
  <c r="D20" i="1" s="1"/>
  <c r="F20" i="1" s="1"/>
  <c r="L24" i="1"/>
  <c r="J23" i="1"/>
  <c r="K21" i="1"/>
  <c r="I23" i="1"/>
  <c r="D11" i="1"/>
  <c r="G12" i="1" s="1"/>
  <c r="F8" i="1"/>
  <c r="L21" i="1"/>
  <c r="O42" i="3"/>
  <c r="O43" i="3" s="1"/>
  <c r="O45" i="3" s="1"/>
  <c r="L20" i="1" l="1"/>
  <c r="H41" i="3"/>
  <c r="H42" i="3" s="1"/>
  <c r="H43" i="3" s="1"/>
  <c r="H45" i="3" s="1"/>
  <c r="D23" i="1"/>
  <c r="E23" i="1" s="1"/>
  <c r="F23" i="1" s="1"/>
  <c r="F25" i="1" s="1"/>
  <c r="F26" i="1" s="1"/>
  <c r="K23" i="1"/>
  <c r="K25" i="1" s="1"/>
  <c r="K26" i="1" s="1"/>
  <c r="G9" i="1"/>
  <c r="G8" i="1"/>
  <c r="G11" i="1"/>
  <c r="E11" i="1"/>
  <c r="F11" i="1" s="1"/>
  <c r="F13" i="1" s="1"/>
  <c r="F14" i="1" s="1"/>
  <c r="G10" i="1"/>
  <c r="L23" i="1" l="1"/>
  <c r="F27" i="1"/>
  <c r="L27" i="1" s="1"/>
  <c r="F28" i="1" l="1"/>
  <c r="L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 Hofinger</author>
  </authors>
  <commentList>
    <comment ref="C8" authorId="0" shapeId="0" xr:uid="{A335F6D3-F51E-41B2-A5DC-8EF80E912472}">
      <text>
        <r>
          <rPr>
            <b/>
            <sz val="9"/>
            <color indexed="81"/>
            <rFont val="Segoe UI"/>
            <family val="2"/>
          </rPr>
          <t>Johann Hofinger:</t>
        </r>
        <r>
          <rPr>
            <sz val="9"/>
            <color indexed="81"/>
            <rFont val="Segoe UI"/>
            <family val="2"/>
          </rPr>
          <t xml:space="preserve">
Hier Jahresverbrauch eingeben</t>
        </r>
      </text>
    </comment>
    <comment ref="J17" authorId="0" shapeId="0" xr:uid="{7D862776-F2DC-45D4-BF72-ABA2E9D4BA6B}">
      <text>
        <r>
          <rPr>
            <b/>
            <sz val="9"/>
            <color indexed="81"/>
            <rFont val="Segoe UI"/>
            <family val="2"/>
          </rPr>
          <t>Johann Hofinger:</t>
        </r>
        <r>
          <rPr>
            <sz val="9"/>
            <color indexed="81"/>
            <rFont val="Segoe UI"/>
            <family val="2"/>
          </rPr>
          <t xml:space="preserve">
Anteil 30% bei üblichem Verbrauchsprofil, 50% bei hohem Anteil tagsüber</t>
        </r>
      </text>
    </comment>
  </commentList>
</comments>
</file>

<file path=xl/sharedStrings.xml><?xml version="1.0" encoding="utf-8"?>
<sst xmlns="http://schemas.openxmlformats.org/spreadsheetml/2006/main" count="250" uniqueCount="89">
  <si>
    <t>Energie</t>
  </si>
  <si>
    <t>Netzdienstleistung</t>
  </si>
  <si>
    <t>Abgaben</t>
  </si>
  <si>
    <t>Stromkostenzuschuss</t>
  </si>
  <si>
    <t>Zahlungsbetrag</t>
  </si>
  <si>
    <t>Verbrauch</t>
  </si>
  <si>
    <t xml:space="preserve">Netto in € </t>
  </si>
  <si>
    <t>Brutto in €</t>
  </si>
  <si>
    <t>Ust. in €</t>
  </si>
  <si>
    <t>Verbrauchsdaten</t>
  </si>
  <si>
    <t>Zählpunkt</t>
  </si>
  <si>
    <t xml:space="preserve">Lastprofil </t>
  </si>
  <si>
    <t>H0 HAUSHALT</t>
  </si>
  <si>
    <t>Netzebene</t>
  </si>
  <si>
    <t xml:space="preserve">Anschlussleistung </t>
  </si>
  <si>
    <t>7,7 kW</t>
  </si>
  <si>
    <t xml:space="preserve">Netzbetreiber </t>
  </si>
  <si>
    <t>Salzburg Netz GmbH</t>
  </si>
  <si>
    <t xml:space="preserve">Zähler - Zählwerk </t>
  </si>
  <si>
    <t xml:space="preserve">Zeitraum </t>
  </si>
  <si>
    <t xml:space="preserve">alt Zählerstand neu </t>
  </si>
  <si>
    <t>Gesamtverbrauch</t>
  </si>
  <si>
    <t>1KFM020013451234-01 Strom</t>
  </si>
  <si>
    <t>kWh</t>
  </si>
  <si>
    <t>Rechnungsdetails</t>
  </si>
  <si>
    <t>Energiepreis</t>
  </si>
  <si>
    <t>verrechnet von - bis</t>
  </si>
  <si>
    <t>Einheit</t>
  </si>
  <si>
    <t>Preis</t>
  </si>
  <si>
    <t>Ust. %</t>
  </si>
  <si>
    <t>Cent/kWh</t>
  </si>
  <si>
    <t>Allgemeine Daten</t>
  </si>
  <si>
    <t>Energiegrundentgelt</t>
  </si>
  <si>
    <t>Tage</t>
  </si>
  <si>
    <t>€/Jahr</t>
  </si>
  <si>
    <t>Frei-Tage für Bindung</t>
  </si>
  <si>
    <t>Frei-Tage für Abbuchung</t>
  </si>
  <si>
    <t>Frei-Tage für Online-Produkt</t>
  </si>
  <si>
    <t>Individuell je Vertrag</t>
  </si>
  <si>
    <t>Gesamtbetrag Stromkostenzuschuss</t>
  </si>
  <si>
    <t>Netzpauschalentgelt</t>
  </si>
  <si>
    <t>Netznutzungsentgelt</t>
  </si>
  <si>
    <t>Netzverlustentgelt</t>
  </si>
  <si>
    <t>Messentgelt</t>
  </si>
  <si>
    <t>Gesamt Netzdienstleistung</t>
  </si>
  <si>
    <t>Gebrauchsabgabe</t>
  </si>
  <si>
    <t>Elektrizitätsabgabe</t>
  </si>
  <si>
    <t>Gesamt Abgaben</t>
  </si>
  <si>
    <t>Gesamtbetrag Online Privat OK Strom</t>
  </si>
  <si>
    <t>Gesamtbetrag netto</t>
  </si>
  <si>
    <t>Umsatzsteuer 20 %</t>
  </si>
  <si>
    <t>Gesamtbetrag brutto</t>
  </si>
  <si>
    <t>zu zahlender Betrag:</t>
  </si>
  <si>
    <t>Salzburg AG</t>
  </si>
  <si>
    <t>Salzburg AG + RED</t>
  </si>
  <si>
    <t>Gesamt Energie</t>
  </si>
  <si>
    <t>Gesamtverbrauch SAG</t>
  </si>
  <si>
    <t>Gesamtverbrauch RED</t>
  </si>
  <si>
    <t>Reduziert um 28%</t>
  </si>
  <si>
    <t>Verrechnung durch EEG RED</t>
  </si>
  <si>
    <t>Verrechnung durch SAG</t>
  </si>
  <si>
    <t>Summe:</t>
  </si>
  <si>
    <t>Ersparnis:</t>
  </si>
  <si>
    <t>Summe 
netto €</t>
  </si>
  <si>
    <t>kWh/a</t>
  </si>
  <si>
    <t>Anteil Salzburg AG:</t>
  </si>
  <si>
    <t>Anteil EEG RED:</t>
  </si>
  <si>
    <t>Mindestverbrauch 
bei 30% Anteil aus EEG:</t>
  </si>
  <si>
    <t>Mindestverbrauch 
bei 50% Anteil aus EEG:</t>
  </si>
  <si>
    <t>Rechnung Strombezug</t>
  </si>
  <si>
    <t>mit Stromkostenzuschuss</t>
  </si>
  <si>
    <t>ohne Stromkostenzuschuss</t>
  </si>
  <si>
    <t>Stromkostenvergleich Salzburg AG mit EEG RegioEnergie Dorfbeuern (RED)</t>
  </si>
  <si>
    <t>Detailblatt Strombezug von Salzburg AG und RED</t>
  </si>
  <si>
    <t>Detailblatt Strombezug nur von Salzburg AG</t>
  </si>
  <si>
    <t>Empfehlungen Mindeststromverbauch</t>
  </si>
  <si>
    <t>Alle Angaben und Ergebnisse ohne Gewähr.</t>
  </si>
  <si>
    <t>AT 004000 05152 00000 00000 00100 xxxxx</t>
  </si>
  <si>
    <t>entfällt bei EEGs</t>
  </si>
  <si>
    <t>Jahresverbrauch in kWh</t>
  </si>
  <si>
    <t>Preis / kWh</t>
  </si>
  <si>
    <t>-</t>
  </si>
  <si>
    <t>Strompreisdeckel der Salzburg AG</t>
  </si>
  <si>
    <t>Erneuerb.-Förderpauschale</t>
  </si>
  <si>
    <t>Erneuerb.-Förderbeitrag Netzpauschale</t>
  </si>
  <si>
    <t>Erneuerb.-Förderbeitrag Netznutzung</t>
  </si>
  <si>
    <t xml:space="preserve">Rechnung Strombezug (neuer Tarif Strom Privat 24 ab 01.11.24) </t>
  </si>
  <si>
    <t>Gesamt Strom Privat 24</t>
  </si>
  <si>
    <t>Erneuerb.-Förderbeitrag Netzverlust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</si>
</sst>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0"/>
    <numFmt numFmtId="165" formatCode="_-* #,##0_-;\-* #,##0_-;_-* &quot;-&quot;??_-;_-@_-"/>
    <numFmt numFmtId="166" formatCode="0.0%"/>
    <numFmt numFmtId="167" formatCode="0.000"/>
    <numFmt numFmtId="168" formatCode="0.0000"/>
    <numFmt numFmtId="169" formatCode="_-* #,##0.000\ &quot;€&quot;_-;\-* #,##0.0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4" fontId="2" fillId="2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4" fontId="0" fillId="2" borderId="5" xfId="0" applyNumberFormat="1" applyFill="1" applyBorder="1" applyAlignment="1">
      <alignment vertical="center"/>
    </xf>
    <xf numFmtId="44" fontId="0" fillId="2" borderId="6" xfId="0" applyNumberFormat="1" applyFill="1" applyBorder="1" applyAlignment="1">
      <alignment vertical="center"/>
    </xf>
    <xf numFmtId="44" fontId="0" fillId="2" borderId="7" xfId="0" applyNumberFormat="1" applyFill="1" applyBorder="1" applyAlignment="1">
      <alignment vertical="center"/>
    </xf>
    <xf numFmtId="9" fontId="0" fillId="2" borderId="5" xfId="3" applyFont="1" applyFill="1" applyBorder="1" applyAlignment="1">
      <alignment vertical="center"/>
    </xf>
    <xf numFmtId="9" fontId="0" fillId="2" borderId="6" xfId="3" applyFont="1" applyFill="1" applyBorder="1" applyAlignment="1">
      <alignment vertical="center"/>
    </xf>
    <xf numFmtId="9" fontId="0" fillId="2" borderId="7" xfId="3" applyFont="1" applyFill="1" applyBorder="1" applyAlignment="1">
      <alignment vertical="center"/>
    </xf>
    <xf numFmtId="44" fontId="2" fillId="2" borderId="4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3" borderId="0" xfId="0" applyFont="1" applyFill="1" applyAlignment="1">
      <alignment vertical="center"/>
    </xf>
    <xf numFmtId="1" fontId="0" fillId="3" borderId="0" xfId="0" applyNumberFormat="1" applyFill="1" applyAlignment="1">
      <alignment horizontal="left" vertical="center"/>
    </xf>
    <xf numFmtId="1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44" fontId="0" fillId="3" borderId="0" xfId="2" applyFont="1" applyFill="1" applyAlignment="1">
      <alignment vertical="center"/>
    </xf>
    <xf numFmtId="44" fontId="0" fillId="3" borderId="0" xfId="0" applyNumberFormat="1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44" fontId="2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4" fontId="0" fillId="5" borderId="5" xfId="0" applyNumberFormat="1" applyFill="1" applyBorder="1" applyAlignment="1">
      <alignment vertical="center"/>
    </xf>
    <xf numFmtId="9" fontId="0" fillId="5" borderId="5" xfId="3" applyFont="1" applyFill="1" applyBorder="1" applyAlignment="1">
      <alignment vertical="center"/>
    </xf>
    <xf numFmtId="44" fontId="0" fillId="5" borderId="6" xfId="0" applyNumberFormat="1" applyFill="1" applyBorder="1" applyAlignment="1">
      <alignment vertical="center"/>
    </xf>
    <xf numFmtId="9" fontId="0" fillId="5" borderId="6" xfId="3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4" fontId="0" fillId="5" borderId="7" xfId="0" applyNumberFormat="1" applyFill="1" applyBorder="1" applyAlignment="1">
      <alignment vertical="center"/>
    </xf>
    <xf numFmtId="9" fontId="0" fillId="5" borderId="7" xfId="3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4" fontId="2" fillId="2" borderId="8" xfId="0" applyNumberFormat="1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44" fontId="2" fillId="5" borderId="8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9" fontId="6" fillId="2" borderId="0" xfId="0" applyNumberFormat="1" applyFont="1" applyFill="1" applyAlignment="1">
      <alignment vertical="center"/>
    </xf>
    <xf numFmtId="9" fontId="6" fillId="5" borderId="0" xfId="0" applyNumberFormat="1" applyFont="1" applyFill="1" applyAlignment="1">
      <alignment vertical="center"/>
    </xf>
    <xf numFmtId="9" fontId="6" fillId="5" borderId="0" xfId="3" applyFont="1" applyFill="1" applyAlignment="1">
      <alignment vertical="center"/>
    </xf>
    <xf numFmtId="0" fontId="2" fillId="3" borderId="1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/>
    </xf>
    <xf numFmtId="9" fontId="4" fillId="5" borderId="0" xfId="3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0" fillId="3" borderId="3" xfId="0" applyFont="1" applyFill="1" applyBorder="1" applyAlignment="1">
      <alignment vertical="center"/>
    </xf>
    <xf numFmtId="9" fontId="11" fillId="3" borderId="7" xfId="3" applyFont="1" applyFill="1" applyBorder="1" applyAlignment="1">
      <alignment vertical="center"/>
    </xf>
    <xf numFmtId="44" fontId="11" fillId="3" borderId="7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166" fontId="2" fillId="6" borderId="1" xfId="3" applyNumberFormat="1" applyFont="1" applyFill="1" applyBorder="1" applyAlignment="1">
      <alignment vertical="center"/>
    </xf>
    <xf numFmtId="166" fontId="13" fillId="3" borderId="0" xfId="3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9" fontId="2" fillId="5" borderId="8" xfId="0" applyNumberFormat="1" applyFont="1" applyFill="1" applyBorder="1" applyAlignment="1">
      <alignment vertical="center"/>
    </xf>
    <xf numFmtId="169" fontId="0" fillId="3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8" fontId="0" fillId="3" borderId="0" xfId="0" applyNumberFormat="1" applyFill="1" applyAlignment="1">
      <alignment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>
      <alignment horizontal="center" vertical="center" textRotation="90"/>
    </xf>
    <xf numFmtId="0" fontId="12" fillId="4" borderId="12" xfId="0" applyFont="1" applyFill="1" applyBorder="1" applyAlignment="1">
      <alignment horizontal="center" vertical="center" textRotation="90"/>
    </xf>
    <xf numFmtId="0" fontId="12" fillId="4" borderId="13" xfId="0" applyFont="1" applyFill="1" applyBorder="1" applyAlignment="1">
      <alignment horizontal="center" vertical="center" textRotation="90"/>
    </xf>
    <xf numFmtId="0" fontId="12" fillId="5" borderId="11" xfId="0" applyFont="1" applyFill="1" applyBorder="1" applyAlignment="1">
      <alignment horizontal="center" vertical="center" textRotation="90"/>
    </xf>
    <xf numFmtId="0" fontId="12" fillId="5" borderId="12" xfId="0" applyFont="1" applyFill="1" applyBorder="1" applyAlignment="1">
      <alignment horizontal="center" vertical="center" textRotation="90"/>
    </xf>
    <xf numFmtId="0" fontId="12" fillId="5" borderId="13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7" fontId="2" fillId="5" borderId="3" xfId="0" applyNumberFormat="1" applyFont="1" applyFill="1" applyBorder="1" applyAlignment="1">
      <alignment horizontal="center" vertical="center"/>
    </xf>
    <xf numFmtId="7" fontId="2" fillId="5" borderId="4" xfId="0" applyNumberFormat="1" applyFont="1" applyFill="1" applyBorder="1" applyAlignment="1">
      <alignment horizontal="center" vertical="center"/>
    </xf>
    <xf numFmtId="7" fontId="2" fillId="6" borderId="3" xfId="0" applyNumberFormat="1" applyFont="1" applyFill="1" applyBorder="1" applyAlignment="1">
      <alignment horizontal="center" vertical="center"/>
    </xf>
    <xf numFmtId="7" fontId="2" fillId="6" borderId="4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65" fontId="11" fillId="3" borderId="5" xfId="1" applyNumberFormat="1" applyFont="1" applyFill="1" applyBorder="1" applyAlignment="1">
      <alignment horizontal="right" vertical="center"/>
    </xf>
    <xf numFmtId="165" fontId="11" fillId="3" borderId="6" xfId="1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textRotation="90"/>
    </xf>
    <xf numFmtId="0" fontId="2" fillId="5" borderId="0" xfId="0" applyFont="1" applyFill="1" applyAlignment="1">
      <alignment horizontal="center" vertic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369913</xdr:colOff>
      <xdr:row>0</xdr:row>
      <xdr:rowOff>52754</xdr:rowOff>
    </xdr:from>
    <xdr:to>
      <xdr:col>10</xdr:col>
      <xdr:colOff>505205</xdr:colOff>
      <xdr:row>4</xdr:row>
      <xdr:rowOff>217001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AA7B9F-0DB6-B441-A1E0-24282C83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575" y="52754"/>
          <a:ext cx="940616" cy="937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24</xdr:row>
      <xdr:rowOff>15240</xdr:rowOff>
    </xdr:from>
    <xdr:to>
      <xdr:col>12</xdr:col>
      <xdr:colOff>365760</xdr:colOff>
      <xdr:row>26</xdr:row>
      <xdr:rowOff>68580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6481AD84-942F-E1F2-1941-35BABA9F2128}"/>
            </a:ext>
          </a:extLst>
        </xdr:cNvPr>
        <xdr:cNvCxnSpPr/>
      </xdr:nvCxnSpPr>
      <xdr:spPr>
        <a:xfrm>
          <a:off x="9768840" y="4450080"/>
          <a:ext cx="25908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708660</xdr:colOff>
      <xdr:row>23</xdr:row>
      <xdr:rowOff>175260</xdr:rowOff>
    </xdr:from>
    <xdr:to>
      <xdr:col>11</xdr:col>
      <xdr:colOff>487680</xdr:colOff>
      <xdr:row>26</xdr:row>
      <xdr:rowOff>83820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CA60DEB-E9C4-470A-BA70-938C11CF0D1B}"/>
            </a:ext>
          </a:extLst>
        </xdr:cNvPr>
        <xdr:cNvCxnSpPr/>
      </xdr:nvCxnSpPr>
      <xdr:spPr>
        <a:xfrm flipV="1">
          <a:off x="5745480" y="4427220"/>
          <a:ext cx="369570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167640</xdr:colOff>
      <xdr:row>10</xdr:row>
      <xdr:rowOff>99060</xdr:rowOff>
    </xdr:from>
    <xdr:to>
      <xdr:col>16</xdr:col>
      <xdr:colOff>38100</xdr:colOff>
      <xdr:row>22</xdr:row>
      <xdr:rowOff>68580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A3D3A98B-5D3C-154F-9690-78E5004B269E}"/>
            </a:ext>
          </a:extLst>
        </xdr:cNvPr>
        <xdr:cNvSpPr/>
      </xdr:nvSpPr>
      <xdr:spPr>
        <a:xfrm>
          <a:off x="8183880" y="1973580"/>
          <a:ext cx="5074920" cy="216408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167640</xdr:colOff>
      <xdr:row>22</xdr:row>
      <xdr:rowOff>121920</xdr:rowOff>
    </xdr:from>
    <xdr:to>
      <xdr:col>16</xdr:col>
      <xdr:colOff>38100</xdr:colOff>
      <xdr:row>38</xdr:row>
      <xdr:rowOff>91440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F530F24A-3AEC-451A-9FCA-A9D490F8888D}"/>
            </a:ext>
          </a:extLst>
        </xdr:cNvPr>
        <xdr:cNvSpPr/>
      </xdr:nvSpPr>
      <xdr:spPr>
        <a:xfrm>
          <a:off x="8183880" y="4191000"/>
          <a:ext cx="5074920" cy="216408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99060</xdr:colOff>
      <xdr:row>34</xdr:row>
      <xdr:rowOff>137160</xdr:rowOff>
    </xdr:from>
    <xdr:to>
      <xdr:col>12</xdr:col>
      <xdr:colOff>662940</xdr:colOff>
      <xdr:row>39</xdr:row>
      <xdr:rowOff>144780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D824805-287D-40E8-89DE-25EC996F180F}"/>
            </a:ext>
          </a:extLst>
        </xdr:cNvPr>
        <xdr:cNvCxnSpPr/>
      </xdr:nvCxnSpPr>
      <xdr:spPr>
        <a:xfrm flipV="1">
          <a:off x="9814560" y="6583680"/>
          <a:ext cx="563880" cy="9220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99060</xdr:colOff>
      <xdr:row>37</xdr:row>
      <xdr:rowOff>30480</xdr:rowOff>
    </xdr:from>
    <xdr:to>
      <xdr:col>12</xdr:col>
      <xdr:colOff>594360</xdr:colOff>
      <xdr:row>39</xdr:row>
      <xdr:rowOff>144780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7080643-ECBC-4F97-9F0A-2B5155728418}"/>
            </a:ext>
          </a:extLst>
        </xdr:cNvPr>
        <xdr:cNvCxnSpPr/>
      </xdr:nvCxnSpPr>
      <xdr:spPr>
        <a:xfrm flipV="1">
          <a:off x="9814560" y="7025640"/>
          <a:ext cx="495300" cy="4800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106680</xdr:colOff>
      <xdr:row>34</xdr:row>
      <xdr:rowOff>15240</xdr:rowOff>
    </xdr:from>
    <xdr:to>
      <xdr:col>12</xdr:col>
      <xdr:colOff>640080</xdr:colOff>
      <xdr:row>39</xdr:row>
      <xdr:rowOff>137160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D757B53-74BF-40BD-923C-6D8230CF789A}"/>
            </a:ext>
          </a:extLst>
        </xdr:cNvPr>
        <xdr:cNvCxnSpPr/>
      </xdr:nvCxnSpPr>
      <xdr:spPr>
        <a:xfrm flipV="1">
          <a:off x="9822180" y="6461760"/>
          <a:ext cx="533400" cy="1036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5"/>
  <sheetViews>
    <sheetView tabSelected="1" zoomScale="115" zoomScaleNormal="115" workbookViewId="0">
      <selection activeCell="B16" sqref="B16"/>
    </sheetView>
  </sheetViews>
  <sheetFormatPr baseColWidth="10" defaultColWidth="8.88671875" defaultRowHeight="14.4" x14ac:dyDescent="0.3"/>
  <cols>
    <col min="1" max="1" width="5" style="1" customWidth="1"/>
    <col min="2" max="2" width="27.21875" style="1" customWidth="1"/>
    <col min="3" max="3" width="15.5546875" style="1" customWidth="1"/>
    <col min="4" max="6" width="11.6640625" style="1" customWidth="1"/>
    <col min="7" max="7" width="5.33203125" style="1" customWidth="1"/>
    <col min="8" max="8" width="15.5546875" style="1" customWidth="1"/>
    <col min="9" max="11" width="11.6640625" style="1" customWidth="1"/>
    <col min="12" max="12" width="6.33203125" style="1" customWidth="1"/>
    <col min="13" max="28" width="8.88671875" style="6"/>
    <col min="29" max="16384" width="8.88671875" style="1"/>
  </cols>
  <sheetData>
    <row r="1" spans="1:12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" x14ac:dyDescent="0.3">
      <c r="A2" s="6"/>
      <c r="B2" s="7" t="s">
        <v>72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3">
      <c r="A4" s="83" t="s">
        <v>53</v>
      </c>
      <c r="B4" s="6"/>
      <c r="C4" s="6"/>
      <c r="D4" s="6"/>
      <c r="E4" s="6"/>
      <c r="F4" s="6"/>
      <c r="G4" s="6"/>
      <c r="H4" s="101" t="s">
        <v>75</v>
      </c>
      <c r="I4" s="101"/>
      <c r="J4" s="6"/>
      <c r="K4" s="6"/>
      <c r="L4" s="6"/>
    </row>
    <row r="5" spans="1:12" ht="18.600000000000001" customHeight="1" thickBot="1" x14ac:dyDescent="0.35">
      <c r="A5" s="84"/>
      <c r="B5" s="7" t="s">
        <v>86</v>
      </c>
      <c r="C5" s="6"/>
      <c r="D5" s="6"/>
      <c r="E5" s="6"/>
      <c r="F5" s="6"/>
      <c r="G5" s="6"/>
      <c r="H5" s="102"/>
      <c r="I5" s="102"/>
      <c r="J5" s="6"/>
      <c r="K5" s="6"/>
      <c r="L5" s="6"/>
    </row>
    <row r="6" spans="1:12" ht="15" thickBot="1" x14ac:dyDescent="0.35">
      <c r="A6" s="84"/>
      <c r="B6" s="6"/>
      <c r="C6" s="6"/>
      <c r="D6" s="6"/>
      <c r="E6" s="6"/>
      <c r="F6" s="6"/>
      <c r="G6" s="6"/>
      <c r="H6" s="59" t="s">
        <v>70</v>
      </c>
      <c r="I6" s="62"/>
      <c r="J6" s="62"/>
      <c r="K6" s="63"/>
      <c r="L6" s="6"/>
    </row>
    <row r="7" spans="1:12" ht="29.4" thickBot="1" x14ac:dyDescent="0.35">
      <c r="A7" s="84"/>
      <c r="B7" s="18"/>
      <c r="C7" s="70" t="s">
        <v>79</v>
      </c>
      <c r="D7" s="68" t="s">
        <v>6</v>
      </c>
      <c r="E7" s="68" t="s">
        <v>8</v>
      </c>
      <c r="F7" s="69" t="s">
        <v>7</v>
      </c>
      <c r="G7" s="6"/>
      <c r="H7" s="103" t="s">
        <v>67</v>
      </c>
      <c r="I7" s="104"/>
      <c r="J7" s="99">
        <v>700</v>
      </c>
      <c r="K7" s="97" t="s">
        <v>64</v>
      </c>
      <c r="L7" s="6"/>
    </row>
    <row r="8" spans="1:12" ht="14.4" customHeight="1" thickBot="1" x14ac:dyDescent="0.35">
      <c r="A8" s="84"/>
      <c r="B8" s="19" t="s">
        <v>0</v>
      </c>
      <c r="C8" s="81">
        <v>5000</v>
      </c>
      <c r="D8" s="11">
        <f>'Detail SAG'!H22</f>
        <v>820.49065853764944</v>
      </c>
      <c r="E8" s="14">
        <v>0.2</v>
      </c>
      <c r="F8" s="12">
        <f>D8*(1+E8)</f>
        <v>984.58879024517933</v>
      </c>
      <c r="G8" s="65">
        <f>D8/$D$11</f>
        <v>0.56419472964752226</v>
      </c>
      <c r="H8" s="105"/>
      <c r="I8" s="106"/>
      <c r="J8" s="100"/>
      <c r="K8" s="98"/>
      <c r="L8" s="6"/>
    </row>
    <row r="9" spans="1:12" x14ac:dyDescent="0.3">
      <c r="A9" s="84"/>
      <c r="B9" s="20" t="s">
        <v>1</v>
      </c>
      <c r="C9" s="82"/>
      <c r="D9" s="12">
        <f>'Detail SAG'!H30</f>
        <v>474.04287671232873</v>
      </c>
      <c r="E9" s="15">
        <v>0.2</v>
      </c>
      <c r="F9" s="12">
        <f t="shared" ref="F9:F12" si="0">D9*(1+E9)</f>
        <v>568.85145205479444</v>
      </c>
      <c r="G9" s="65">
        <f t="shared" ref="G9:G12" si="1">D9/$D$11</f>
        <v>0.3259665297649133</v>
      </c>
      <c r="H9" s="103" t="s">
        <v>68</v>
      </c>
      <c r="I9" s="104"/>
      <c r="J9" s="99">
        <v>650</v>
      </c>
      <c r="K9" s="97" t="s">
        <v>64</v>
      </c>
      <c r="L9" s="6"/>
    </row>
    <row r="10" spans="1:12" ht="14.4" customHeight="1" thickBot="1" x14ac:dyDescent="0.35">
      <c r="A10" s="84"/>
      <c r="B10" s="20" t="s">
        <v>2</v>
      </c>
      <c r="C10" s="82"/>
      <c r="D10" s="12">
        <f>'Detail SAG'!H38</f>
        <v>159.7350273972603</v>
      </c>
      <c r="E10" s="15">
        <v>0.2</v>
      </c>
      <c r="F10" s="12">
        <f t="shared" si="0"/>
        <v>191.68203287671236</v>
      </c>
      <c r="G10" s="65">
        <f t="shared" si="1"/>
        <v>0.10983874058756449</v>
      </c>
      <c r="H10" s="105"/>
      <c r="I10" s="106"/>
      <c r="J10" s="100"/>
      <c r="K10" s="98"/>
      <c r="L10" s="6"/>
    </row>
    <row r="11" spans="1:12" ht="15" thickBot="1" x14ac:dyDescent="0.35">
      <c r="A11" s="84"/>
      <c r="B11" s="20" t="s">
        <v>87</v>
      </c>
      <c r="C11" s="9"/>
      <c r="D11" s="12">
        <f>SUM(D8:D10)</f>
        <v>1454.2685626472385</v>
      </c>
      <c r="E11" s="12">
        <f>0.2*D11</f>
        <v>290.85371252944771</v>
      </c>
      <c r="F11" s="12">
        <f>D11+E11</f>
        <v>1745.1222751766861</v>
      </c>
      <c r="G11" s="65">
        <f t="shared" si="1"/>
        <v>1</v>
      </c>
      <c r="H11" s="59" t="s">
        <v>71</v>
      </c>
      <c r="I11" s="62"/>
      <c r="J11" s="60"/>
      <c r="K11" s="61"/>
      <c r="L11" s="6"/>
    </row>
    <row r="12" spans="1:12" ht="15" thickBot="1" x14ac:dyDescent="0.35">
      <c r="A12" s="84"/>
      <c r="B12" s="21" t="s">
        <v>3</v>
      </c>
      <c r="C12" s="10"/>
      <c r="D12" s="13">
        <f>'Detail SAG'!H24</f>
        <v>-68.999999999999986</v>
      </c>
      <c r="E12" s="16">
        <v>0.2</v>
      </c>
      <c r="F12" s="12">
        <f t="shared" si="0"/>
        <v>-82.799999999999983</v>
      </c>
      <c r="G12" s="65">
        <f t="shared" si="1"/>
        <v>-4.7446532072726443E-2</v>
      </c>
      <c r="H12" s="103" t="s">
        <v>67</v>
      </c>
      <c r="I12" s="104"/>
      <c r="J12" s="99">
        <v>100</v>
      </c>
      <c r="K12" s="97" t="s">
        <v>64</v>
      </c>
      <c r="L12" s="6"/>
    </row>
    <row r="13" spans="1:12" ht="15" customHeight="1" thickBot="1" x14ac:dyDescent="0.35">
      <c r="A13" s="84"/>
      <c r="B13" s="8" t="s">
        <v>4</v>
      </c>
      <c r="C13" s="8"/>
      <c r="D13" s="8"/>
      <c r="E13" s="8"/>
      <c r="F13" s="17">
        <f>SUM(F11:F12)</f>
        <v>1662.3222751766862</v>
      </c>
      <c r="G13" s="6"/>
      <c r="H13" s="105"/>
      <c r="I13" s="106"/>
      <c r="J13" s="100"/>
      <c r="K13" s="98"/>
      <c r="L13" s="6"/>
    </row>
    <row r="14" spans="1:12" ht="15" thickBot="1" x14ac:dyDescent="0.35">
      <c r="A14" s="84"/>
      <c r="B14" s="8"/>
      <c r="C14" s="8"/>
      <c r="D14" s="8"/>
      <c r="E14" s="8" t="s">
        <v>80</v>
      </c>
      <c r="F14" s="75">
        <f>F13/C8</f>
        <v>0.33246445503533723</v>
      </c>
      <c r="G14" s="6"/>
      <c r="H14" s="103" t="s">
        <v>68</v>
      </c>
      <c r="I14" s="104"/>
      <c r="J14" s="99">
        <v>100</v>
      </c>
      <c r="K14" s="97" t="s">
        <v>64</v>
      </c>
      <c r="L14" s="6"/>
    </row>
    <row r="15" spans="1:12" ht="14.4" customHeight="1" x14ac:dyDescent="0.3">
      <c r="A15" s="85"/>
      <c r="B15" s="6"/>
      <c r="C15" s="6"/>
      <c r="D15" s="6"/>
      <c r="E15" s="6"/>
      <c r="F15" s="77"/>
      <c r="G15" s="6"/>
      <c r="H15" s="107"/>
      <c r="I15" s="108"/>
      <c r="J15" s="100"/>
      <c r="K15" s="98"/>
      <c r="L15" s="6"/>
    </row>
    <row r="16" spans="1:12" x14ac:dyDescent="0.3">
      <c r="A16" s="86" t="s">
        <v>54</v>
      </c>
      <c r="B16" s="6"/>
      <c r="C16" s="6"/>
      <c r="D16" s="6"/>
      <c r="E16" s="6"/>
      <c r="F16" s="6"/>
      <c r="G16" s="6"/>
      <c r="H16" s="54"/>
      <c r="I16" s="55"/>
      <c r="J16" s="6"/>
      <c r="K16" s="6"/>
      <c r="L16" s="6"/>
    </row>
    <row r="17" spans="1:12" ht="18" x14ac:dyDescent="0.3">
      <c r="A17" s="87"/>
      <c r="B17" s="7" t="s">
        <v>69</v>
      </c>
      <c r="C17" s="6"/>
      <c r="D17" s="29" t="s">
        <v>65</v>
      </c>
      <c r="E17" s="53">
        <f>1-J17</f>
        <v>0.6</v>
      </c>
      <c r="F17" s="22"/>
      <c r="G17" s="22"/>
      <c r="H17" s="22"/>
      <c r="I17" s="29" t="s">
        <v>66</v>
      </c>
      <c r="J17" s="57">
        <v>0.4</v>
      </c>
      <c r="K17" s="6"/>
      <c r="L17" s="6"/>
    </row>
    <row r="18" spans="1:12" ht="15" thickBot="1" x14ac:dyDescent="0.35">
      <c r="A18" s="8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29.4" thickBot="1" x14ac:dyDescent="0.35">
      <c r="A19" s="87"/>
      <c r="B19" s="18"/>
      <c r="C19" s="70" t="s">
        <v>79</v>
      </c>
      <c r="D19" s="68" t="s">
        <v>6</v>
      </c>
      <c r="E19" s="68" t="s">
        <v>8</v>
      </c>
      <c r="F19" s="69" t="s">
        <v>7</v>
      </c>
      <c r="G19" s="6"/>
      <c r="H19" s="73" t="s">
        <v>79</v>
      </c>
      <c r="I19" s="71" t="s">
        <v>6</v>
      </c>
      <c r="J19" s="71" t="s">
        <v>8</v>
      </c>
      <c r="K19" s="72" t="s">
        <v>7</v>
      </c>
      <c r="L19" s="6"/>
    </row>
    <row r="20" spans="1:12" x14ac:dyDescent="0.3">
      <c r="A20" s="87"/>
      <c r="B20" s="19" t="s">
        <v>0</v>
      </c>
      <c r="C20" s="89">
        <f>'Detail SAG+RED'!D17</f>
        <v>3000</v>
      </c>
      <c r="D20" s="11">
        <f>'Detail SAG+RED'!H22</f>
        <v>504.26151841026092</v>
      </c>
      <c r="E20" s="14">
        <v>0.2</v>
      </c>
      <c r="F20" s="12">
        <f t="shared" ref="F20:F22" si="2">D20*(1+E20)</f>
        <v>605.11382209231306</v>
      </c>
      <c r="G20" s="6"/>
      <c r="H20" s="91">
        <f>'Detail SAG+RED'!K17</f>
        <v>2000</v>
      </c>
      <c r="I20" s="34">
        <f>'Detail SAG+RED'!O22</f>
        <v>231.96712328767123</v>
      </c>
      <c r="J20" s="35">
        <v>0</v>
      </c>
      <c r="K20" s="36">
        <f t="shared" ref="K20:K22" si="3">I20*(1+J20)</f>
        <v>231.96712328767123</v>
      </c>
      <c r="L20" s="65">
        <f>(D20+I20)/D8</f>
        <v>0.89730289313726441</v>
      </c>
    </row>
    <row r="21" spans="1:12" x14ac:dyDescent="0.3">
      <c r="A21" s="87"/>
      <c r="B21" s="20" t="s">
        <v>1</v>
      </c>
      <c r="C21" s="90"/>
      <c r="D21" s="12">
        <f>'Detail SAG+RED'!H30</f>
        <v>314.58287671232875</v>
      </c>
      <c r="E21" s="15">
        <v>0.2</v>
      </c>
      <c r="F21" s="12">
        <f t="shared" si="2"/>
        <v>377.49945205479452</v>
      </c>
      <c r="G21" s="6"/>
      <c r="H21" s="92"/>
      <c r="I21" s="36">
        <f>'Detail SAG+RED'!O30</f>
        <v>117.66</v>
      </c>
      <c r="J21" s="37">
        <v>0.2</v>
      </c>
      <c r="K21" s="36">
        <f t="shared" si="3"/>
        <v>141.19199999999998</v>
      </c>
      <c r="L21" s="65">
        <f t="shared" ref="L21:L24" si="4">(D21+I21)/D9</f>
        <v>0.91182232229730109</v>
      </c>
    </row>
    <row r="22" spans="1:12" x14ac:dyDescent="0.3">
      <c r="A22" s="87"/>
      <c r="B22" s="20" t="s">
        <v>2</v>
      </c>
      <c r="C22" s="90"/>
      <c r="D22" s="12">
        <f>'Detail SAG+RED'!H38</f>
        <v>105.30102739726027</v>
      </c>
      <c r="E22" s="15">
        <v>0.2</v>
      </c>
      <c r="F22" s="12">
        <f t="shared" si="2"/>
        <v>126.36123287671232</v>
      </c>
      <c r="G22" s="6"/>
      <c r="H22" s="92"/>
      <c r="I22" s="36">
        <f>'Detail SAG+RED'!O38</f>
        <v>8.5140000000000011</v>
      </c>
      <c r="J22" s="37">
        <v>0.2</v>
      </c>
      <c r="K22" s="36">
        <f t="shared" si="3"/>
        <v>10.216800000000001</v>
      </c>
      <c r="L22" s="65">
        <f t="shared" si="4"/>
        <v>0.71252391696282624</v>
      </c>
    </row>
    <row r="23" spans="1:12" x14ac:dyDescent="0.3">
      <c r="A23" s="87"/>
      <c r="B23" s="20" t="s">
        <v>87</v>
      </c>
      <c r="C23" s="9"/>
      <c r="D23" s="12">
        <f>SUM(D20:D22)</f>
        <v>924.14542251984994</v>
      </c>
      <c r="E23" s="12">
        <f>0.2*D23</f>
        <v>184.82908450396999</v>
      </c>
      <c r="F23" s="12">
        <f>D23+E23</f>
        <v>1108.97450702382</v>
      </c>
      <c r="G23" s="6"/>
      <c r="H23" s="38"/>
      <c r="I23" s="36">
        <f>SUM(I20:I22)</f>
        <v>358.14112328767123</v>
      </c>
      <c r="J23" s="36">
        <f>SUM(I21:I22)*0.2</f>
        <v>25.2348</v>
      </c>
      <c r="K23" s="36">
        <f>I23+J23</f>
        <v>383.37592328767124</v>
      </c>
      <c r="L23" s="65">
        <f t="shared" si="4"/>
        <v>0.88173985104466912</v>
      </c>
    </row>
    <row r="24" spans="1:12" ht="15" thickBot="1" x14ac:dyDescent="0.35">
      <c r="A24" s="87"/>
      <c r="B24" s="21" t="s">
        <v>3</v>
      </c>
      <c r="C24" s="10"/>
      <c r="D24" s="13">
        <f>'Detail SAG+RED'!H24</f>
        <v>-68.999999999999986</v>
      </c>
      <c r="E24" s="16">
        <v>0.2</v>
      </c>
      <c r="F24" s="12">
        <f t="shared" ref="F24" si="5">D24*(1+E24)</f>
        <v>-82.799999999999983</v>
      </c>
      <c r="G24" s="6"/>
      <c r="H24" s="39"/>
      <c r="I24" s="40">
        <f>'Detail SAG+RED'!O24</f>
        <v>0</v>
      </c>
      <c r="J24" s="41">
        <v>0</v>
      </c>
      <c r="K24" s="40">
        <f>I24</f>
        <v>0</v>
      </c>
      <c r="L24" s="65">
        <f t="shared" si="4"/>
        <v>1</v>
      </c>
    </row>
    <row r="25" spans="1:12" ht="15" thickBot="1" x14ac:dyDescent="0.35">
      <c r="A25" s="87"/>
      <c r="B25" s="8" t="s">
        <v>4</v>
      </c>
      <c r="C25" s="8"/>
      <c r="D25" s="8"/>
      <c r="E25" s="42"/>
      <c r="F25" s="43">
        <f>SUM(F23:F24)</f>
        <v>1026.1745070238201</v>
      </c>
      <c r="G25" s="6"/>
      <c r="H25" s="44"/>
      <c r="I25" s="44"/>
      <c r="J25" s="44"/>
      <c r="K25" s="45">
        <f>SUM(K23:K24)</f>
        <v>383.37592328767124</v>
      </c>
      <c r="L25" s="65"/>
    </row>
    <row r="26" spans="1:12" ht="15" thickBot="1" x14ac:dyDescent="0.35">
      <c r="A26" s="87"/>
      <c r="B26" s="3"/>
      <c r="C26" s="3"/>
      <c r="D26" s="3"/>
      <c r="E26" s="8" t="s">
        <v>80</v>
      </c>
      <c r="F26" s="75">
        <f>F25/C20</f>
        <v>0.34205816900794001</v>
      </c>
      <c r="G26" s="6"/>
      <c r="H26" s="44"/>
      <c r="I26" s="44"/>
      <c r="J26" s="44" t="s">
        <v>80</v>
      </c>
      <c r="K26" s="76">
        <f>K25/H20</f>
        <v>0.19168796164383561</v>
      </c>
      <c r="L26" s="65"/>
    </row>
    <row r="27" spans="1:12" ht="15" thickBot="1" x14ac:dyDescent="0.35">
      <c r="A27" s="87"/>
      <c r="B27" s="6"/>
      <c r="C27" s="6"/>
      <c r="D27" s="6"/>
      <c r="E27" s="46" t="s">
        <v>61</v>
      </c>
      <c r="F27" s="93">
        <f>F25+K25</f>
        <v>1409.5504303114913</v>
      </c>
      <c r="G27" s="93"/>
      <c r="H27" s="93"/>
      <c r="I27" s="93"/>
      <c r="J27" s="93"/>
      <c r="K27" s="94"/>
      <c r="L27" s="65">
        <f>(F27)/F13</f>
        <v>0.84794052955927091</v>
      </c>
    </row>
    <row r="28" spans="1:12" ht="21.6" customHeight="1" thickBot="1" x14ac:dyDescent="0.35">
      <c r="A28" s="88"/>
      <c r="B28" s="66" t="s">
        <v>76</v>
      </c>
      <c r="C28" s="6"/>
      <c r="D28" s="6"/>
      <c r="E28" s="56" t="s">
        <v>62</v>
      </c>
      <c r="F28" s="95">
        <f>F13-F27</f>
        <v>252.77184486519491</v>
      </c>
      <c r="G28" s="95"/>
      <c r="H28" s="95"/>
      <c r="I28" s="95"/>
      <c r="J28" s="95"/>
      <c r="K28" s="96"/>
      <c r="L28" s="64">
        <f>F28/F13</f>
        <v>0.15205947044072912</v>
      </c>
    </row>
    <row r="29" spans="1:12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="6" customFormat="1" x14ac:dyDescent="0.3"/>
    <row r="34" s="6" customFormat="1" x14ac:dyDescent="0.3"/>
    <row r="35" s="6" customFormat="1" x14ac:dyDescent="0.3"/>
    <row r="36" s="6" customFormat="1" x14ac:dyDescent="0.3"/>
    <row r="37" s="6" customFormat="1" x14ac:dyDescent="0.3"/>
    <row r="38" s="6" customFormat="1" x14ac:dyDescent="0.3"/>
    <row r="39" s="6" customFormat="1" x14ac:dyDescent="0.3"/>
    <row r="40" s="6" customFormat="1" x14ac:dyDescent="0.3"/>
    <row r="41" s="6" customFormat="1" x14ac:dyDescent="0.3"/>
    <row r="42" s="6" customFormat="1" x14ac:dyDescent="0.3"/>
    <row r="43" s="6" customFormat="1" x14ac:dyDescent="0.3"/>
    <row r="44" s="6" customFormat="1" x14ac:dyDescent="0.3"/>
    <row r="45" s="6" customFormat="1" x14ac:dyDescent="0.3"/>
    <row r="46" s="6" customFormat="1" x14ac:dyDescent="0.3"/>
    <row r="47" s="6" customFormat="1" x14ac:dyDescent="0.3"/>
    <row r="4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</sheetData>
  <mergeCells count="20">
    <mergeCell ref="K9:K10"/>
    <mergeCell ref="H12:I13"/>
    <mergeCell ref="H14:I15"/>
    <mergeCell ref="J12:J13"/>
    <mergeCell ref="C8:C10"/>
    <mergeCell ref="A4:A15"/>
    <mergeCell ref="A16:A28"/>
    <mergeCell ref="C20:C22"/>
    <mergeCell ref="H20:H22"/>
    <mergeCell ref="F27:K27"/>
    <mergeCell ref="F28:K28"/>
    <mergeCell ref="K12:K13"/>
    <mergeCell ref="J14:J15"/>
    <mergeCell ref="K14:K15"/>
    <mergeCell ref="H4:I5"/>
    <mergeCell ref="H7:I8"/>
    <mergeCell ref="J7:J8"/>
    <mergeCell ref="K7:K8"/>
    <mergeCell ref="H9:I10"/>
    <mergeCell ref="J9:J10"/>
  </mergeCells>
  <pageMargins left="0.7" right="0.7" top="0.75" bottom="0.75" header="0.3" footer="0.3"/>
  <pageSetup paperSize="9" scale="90" fitToHeight="0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5CDB-5870-45DB-8D98-25DDFEA6C57D}">
  <sheetPr>
    <pageSetUpPr fitToPage="1"/>
  </sheetPr>
  <dimension ref="A1:K46"/>
  <sheetViews>
    <sheetView topLeftCell="A6" zoomScaleNormal="100" workbookViewId="0">
      <selection activeCell="H44" sqref="H44"/>
    </sheetView>
  </sheetViews>
  <sheetFormatPr baseColWidth="10" defaultColWidth="11.5546875" defaultRowHeight="14.4" x14ac:dyDescent="0.3"/>
  <cols>
    <col min="1" max="1" width="28.21875" style="1" customWidth="1"/>
    <col min="2" max="3" width="11.88671875" style="1" customWidth="1"/>
    <col min="4" max="4" width="11.5546875" style="1"/>
    <col min="5" max="5" width="11.6640625" style="1" customWidth="1"/>
    <col min="6" max="6" width="11.5546875" style="1" customWidth="1"/>
    <col min="7" max="7" width="11.5546875" style="1"/>
    <col min="8" max="8" width="12.77734375" style="1" customWidth="1"/>
    <col min="9" max="9" width="6.5546875" style="1" customWidth="1"/>
    <col min="10" max="16384" width="11.5546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8" x14ac:dyDescent="0.3">
      <c r="A2" s="7" t="s">
        <v>74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22"/>
      <c r="B3" s="6"/>
      <c r="C3" s="6"/>
      <c r="D3" s="6"/>
      <c r="E3" s="6"/>
      <c r="F3" s="6"/>
      <c r="G3" s="6"/>
      <c r="H3" s="6"/>
      <c r="I3" s="6"/>
      <c r="J3" s="6"/>
    </row>
    <row r="4" spans="1:10" x14ac:dyDescent="0.3">
      <c r="A4" s="22" t="s">
        <v>31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3">
      <c r="A5" s="6" t="s">
        <v>10</v>
      </c>
      <c r="B5" s="6" t="s">
        <v>77</v>
      </c>
      <c r="C5" s="6"/>
      <c r="D5" s="6"/>
      <c r="E5" s="6"/>
      <c r="F5" s="6"/>
      <c r="G5" s="6"/>
      <c r="H5" s="6"/>
      <c r="I5" s="6"/>
      <c r="J5" s="6"/>
    </row>
    <row r="6" spans="1:10" x14ac:dyDescent="0.3">
      <c r="A6" s="6" t="s">
        <v>11</v>
      </c>
      <c r="B6" s="6" t="s">
        <v>12</v>
      </c>
      <c r="C6" s="6"/>
      <c r="D6" s="6"/>
      <c r="E6" s="6"/>
      <c r="F6" s="6"/>
      <c r="G6" s="6"/>
      <c r="H6" s="6"/>
      <c r="I6" s="6"/>
      <c r="J6" s="6"/>
    </row>
    <row r="7" spans="1:10" x14ac:dyDescent="0.3">
      <c r="A7" s="6" t="s">
        <v>13</v>
      </c>
      <c r="B7" s="23">
        <v>7</v>
      </c>
      <c r="C7" s="23"/>
      <c r="D7" s="6"/>
      <c r="E7" s="6"/>
      <c r="F7" s="6"/>
      <c r="G7" s="6"/>
      <c r="H7" s="6"/>
      <c r="I7" s="6"/>
      <c r="J7" s="6"/>
    </row>
    <row r="8" spans="1:10" x14ac:dyDescent="0.3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  <c r="J8" s="6"/>
    </row>
    <row r="9" spans="1:10" x14ac:dyDescent="0.3">
      <c r="A9" s="6" t="s">
        <v>16</v>
      </c>
      <c r="B9" s="6" t="s">
        <v>17</v>
      </c>
      <c r="C9" s="6"/>
      <c r="D9" s="6"/>
      <c r="E9" s="6"/>
      <c r="F9" s="6"/>
      <c r="G9" s="6"/>
      <c r="H9" s="6"/>
      <c r="I9" s="6"/>
      <c r="J9" s="6"/>
    </row>
    <row r="10" spans="1:1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22" t="s">
        <v>9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18</v>
      </c>
      <c r="B12" s="109" t="s">
        <v>19</v>
      </c>
      <c r="C12" s="109"/>
      <c r="D12" s="109" t="s">
        <v>20</v>
      </c>
      <c r="E12" s="109"/>
      <c r="F12" s="109" t="s">
        <v>21</v>
      </c>
      <c r="G12" s="109"/>
      <c r="H12" s="2"/>
      <c r="I12" s="2"/>
      <c r="J12" s="6"/>
    </row>
    <row r="13" spans="1:10" x14ac:dyDescent="0.3">
      <c r="A13" s="6" t="s">
        <v>22</v>
      </c>
      <c r="B13" s="24">
        <v>45658</v>
      </c>
      <c r="C13" s="24">
        <v>46022</v>
      </c>
      <c r="D13" s="25">
        <v>2665.482</v>
      </c>
      <c r="E13" s="25">
        <f>D13+F13</f>
        <v>7665.482</v>
      </c>
      <c r="F13" s="25">
        <f>Deckblatt!C8</f>
        <v>5000</v>
      </c>
      <c r="G13" s="6" t="s">
        <v>23</v>
      </c>
      <c r="H13" s="6"/>
      <c r="I13" s="6"/>
      <c r="J13" s="6"/>
    </row>
    <row r="14" spans="1:1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22" t="s">
        <v>24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28.8" x14ac:dyDescent="0.3">
      <c r="A16" s="2"/>
      <c r="B16" s="109" t="s">
        <v>26</v>
      </c>
      <c r="C16" s="109"/>
      <c r="D16" s="4" t="s">
        <v>5</v>
      </c>
      <c r="E16" s="4" t="s">
        <v>27</v>
      </c>
      <c r="F16" s="4" t="s">
        <v>28</v>
      </c>
      <c r="G16" s="4" t="s">
        <v>27</v>
      </c>
      <c r="H16" s="47" t="s">
        <v>63</v>
      </c>
      <c r="I16" s="4" t="s">
        <v>29</v>
      </c>
      <c r="J16" s="6"/>
    </row>
    <row r="17" spans="1:11" x14ac:dyDescent="0.3">
      <c r="A17" s="6" t="s">
        <v>25</v>
      </c>
      <c r="B17" s="24">
        <f>B13</f>
        <v>45658</v>
      </c>
      <c r="C17" s="24">
        <f>C13</f>
        <v>46022</v>
      </c>
      <c r="D17" s="25">
        <f>F13</f>
        <v>5000</v>
      </c>
      <c r="E17" s="6" t="s">
        <v>23</v>
      </c>
      <c r="F17" s="58">
        <v>16.899999999999999</v>
      </c>
      <c r="G17" s="22" t="s">
        <v>30</v>
      </c>
      <c r="H17" s="26">
        <f>D17*F17/100</f>
        <v>845</v>
      </c>
      <c r="I17" s="6">
        <v>20</v>
      </c>
      <c r="J17" s="6"/>
    </row>
    <row r="18" spans="1:11" x14ac:dyDescent="0.3">
      <c r="A18" s="6" t="s">
        <v>32</v>
      </c>
      <c r="B18" s="24">
        <f>B13</f>
        <v>45658</v>
      </c>
      <c r="C18" s="24">
        <f>C13</f>
        <v>46022</v>
      </c>
      <c r="D18" s="6">
        <f>C18-B18</f>
        <v>364</v>
      </c>
      <c r="E18" s="6" t="s">
        <v>33</v>
      </c>
      <c r="F18" s="58">
        <v>30</v>
      </c>
      <c r="G18" s="22" t="s">
        <v>34</v>
      </c>
      <c r="H18" s="26">
        <f>D18*F18/365</f>
        <v>29.917808219178081</v>
      </c>
      <c r="I18" s="6">
        <v>20</v>
      </c>
      <c r="J18" s="6"/>
    </row>
    <row r="19" spans="1:11" x14ac:dyDescent="0.3">
      <c r="A19" s="6" t="s">
        <v>35</v>
      </c>
      <c r="B19" s="6"/>
      <c r="C19" s="6"/>
      <c r="D19" s="6"/>
      <c r="E19" s="6"/>
      <c r="F19" s="6"/>
      <c r="G19" s="49" t="s">
        <v>38</v>
      </c>
      <c r="H19" s="27">
        <f>-74.13/(208+1191+485)*H17</f>
        <v>-33.248328025477704</v>
      </c>
      <c r="I19" s="6">
        <v>20</v>
      </c>
      <c r="J19" s="6"/>
    </row>
    <row r="20" spans="1:11" x14ac:dyDescent="0.3">
      <c r="A20" s="6" t="s">
        <v>36</v>
      </c>
      <c r="B20" s="6"/>
      <c r="C20" s="6"/>
      <c r="D20" s="6"/>
      <c r="E20" s="6"/>
      <c r="F20" s="6"/>
      <c r="G20" s="49" t="s">
        <v>38</v>
      </c>
      <c r="H20" s="27">
        <f>-15.74/(208+1191+485)*H17</f>
        <v>-7.0596072186836523</v>
      </c>
      <c r="I20" s="6">
        <v>20</v>
      </c>
      <c r="J20" s="6"/>
    </row>
    <row r="21" spans="1:11" x14ac:dyDescent="0.3">
      <c r="A21" s="6" t="s">
        <v>37</v>
      </c>
      <c r="B21" s="6"/>
      <c r="C21" s="6"/>
      <c r="D21" s="6"/>
      <c r="E21" s="6"/>
      <c r="F21" s="6"/>
      <c r="G21" s="49" t="s">
        <v>38</v>
      </c>
      <c r="H21" s="27">
        <f>-31.48/(208+1191+485)*H17</f>
        <v>-14.119214437367305</v>
      </c>
      <c r="I21" s="6">
        <v>20</v>
      </c>
      <c r="J21" s="6"/>
    </row>
    <row r="22" spans="1:11" x14ac:dyDescent="0.3">
      <c r="A22" s="3" t="s">
        <v>55</v>
      </c>
      <c r="B22" s="2"/>
      <c r="C22" s="2"/>
      <c r="D22" s="2"/>
      <c r="E22" s="2"/>
      <c r="F22" s="2"/>
      <c r="G22" s="2"/>
      <c r="H22" s="5">
        <f>SUM(H17:H21)</f>
        <v>820.49065853764944</v>
      </c>
      <c r="I22" s="2"/>
      <c r="J22" s="6"/>
    </row>
    <row r="23" spans="1:11" x14ac:dyDescent="0.3">
      <c r="A23" s="6" t="s">
        <v>82</v>
      </c>
      <c r="B23" s="28">
        <f>B13</f>
        <v>45658</v>
      </c>
      <c r="C23" s="28">
        <f>C13</f>
        <v>46022</v>
      </c>
      <c r="D23" s="25">
        <v>1000</v>
      </c>
      <c r="E23" s="6" t="s">
        <v>23</v>
      </c>
      <c r="F23" s="58">
        <f>MIN(F17-10,15)</f>
        <v>6.8999999999999986</v>
      </c>
      <c r="G23" s="22" t="s">
        <v>30</v>
      </c>
      <c r="H23" s="26">
        <f>-D23*F23/100</f>
        <v>-68.999999999999986</v>
      </c>
      <c r="I23" s="6">
        <v>20</v>
      </c>
      <c r="J23" s="6"/>
      <c r="K23" s="58"/>
    </row>
    <row r="24" spans="1:11" x14ac:dyDescent="0.3">
      <c r="A24" s="3" t="s">
        <v>39</v>
      </c>
      <c r="B24" s="2"/>
      <c r="C24" s="2"/>
      <c r="D24" s="2"/>
      <c r="E24" s="2"/>
      <c r="F24" s="2"/>
      <c r="G24" s="2"/>
      <c r="H24" s="5">
        <f>H23</f>
        <v>-68.999999999999986</v>
      </c>
      <c r="I24" s="2"/>
      <c r="J24" s="6"/>
    </row>
    <row r="25" spans="1:1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1" x14ac:dyDescent="0.3">
      <c r="A26" s="6" t="s">
        <v>40</v>
      </c>
      <c r="B26" s="28">
        <f>$B$13</f>
        <v>45658</v>
      </c>
      <c r="C26" s="28">
        <f>$C$13</f>
        <v>46022</v>
      </c>
      <c r="D26" s="6">
        <f>C26-B26</f>
        <v>364</v>
      </c>
      <c r="E26" s="6" t="s">
        <v>33</v>
      </c>
      <c r="F26" s="78">
        <v>48</v>
      </c>
      <c r="G26" s="6" t="s">
        <v>34</v>
      </c>
      <c r="H26" s="26">
        <f>D26*F26/365</f>
        <v>47.868493150684934</v>
      </c>
      <c r="I26" s="6">
        <v>20</v>
      </c>
      <c r="J26" s="6"/>
    </row>
    <row r="27" spans="1:11" x14ac:dyDescent="0.3">
      <c r="A27" s="6" t="s">
        <v>41</v>
      </c>
      <c r="B27" s="28">
        <f t="shared" ref="B27:B29" si="0">$B$13</f>
        <v>45658</v>
      </c>
      <c r="C27" s="28">
        <f t="shared" ref="C27:C29" si="1">$C$13</f>
        <v>46022</v>
      </c>
      <c r="D27" s="25">
        <f>$F$13</f>
        <v>5000</v>
      </c>
      <c r="E27" s="6" t="s">
        <v>23</v>
      </c>
      <c r="F27" s="74">
        <v>7.47</v>
      </c>
      <c r="G27" s="6" t="s">
        <v>30</v>
      </c>
      <c r="H27" s="26">
        <f>D27*F27/100</f>
        <v>373.5</v>
      </c>
      <c r="I27" s="6">
        <v>20</v>
      </c>
      <c r="J27" s="6"/>
    </row>
    <row r="28" spans="1:11" x14ac:dyDescent="0.3">
      <c r="A28" s="6" t="s">
        <v>42</v>
      </c>
      <c r="B28" s="28">
        <f t="shared" si="0"/>
        <v>45658</v>
      </c>
      <c r="C28" s="28">
        <f t="shared" si="1"/>
        <v>46022</v>
      </c>
      <c r="D28" s="25">
        <f>$F$13</f>
        <v>5000</v>
      </c>
      <c r="E28" s="6" t="s">
        <v>23</v>
      </c>
      <c r="F28" s="6">
        <v>0.503</v>
      </c>
      <c r="G28" s="6" t="s">
        <v>30</v>
      </c>
      <c r="H28" s="26">
        <f>D28*F28/100</f>
        <v>25.15</v>
      </c>
      <c r="I28" s="6">
        <v>20</v>
      </c>
      <c r="J28" s="6"/>
    </row>
    <row r="29" spans="1:11" x14ac:dyDescent="0.3">
      <c r="A29" s="6" t="s">
        <v>43</v>
      </c>
      <c r="B29" s="28">
        <f t="shared" si="0"/>
        <v>45658</v>
      </c>
      <c r="C29" s="28">
        <f t="shared" si="1"/>
        <v>46022</v>
      </c>
      <c r="D29" s="6">
        <f>C29-B29</f>
        <v>364</v>
      </c>
      <c r="E29" s="6" t="s">
        <v>33</v>
      </c>
      <c r="F29" s="78">
        <f>2.3*12</f>
        <v>27.599999999999998</v>
      </c>
      <c r="G29" s="6" t="s">
        <v>34</v>
      </c>
      <c r="H29" s="26">
        <f>D29*F29/365</f>
        <v>27.524383561643834</v>
      </c>
      <c r="I29" s="6">
        <v>20</v>
      </c>
      <c r="J29" s="6"/>
    </row>
    <row r="30" spans="1:11" x14ac:dyDescent="0.3">
      <c r="A30" s="3" t="s">
        <v>44</v>
      </c>
      <c r="B30" s="2"/>
      <c r="C30" s="2"/>
      <c r="D30" s="2"/>
      <c r="E30" s="2"/>
      <c r="F30" s="2"/>
      <c r="G30" s="2"/>
      <c r="H30" s="5">
        <f>SUM(H26:H29)</f>
        <v>474.04287671232873</v>
      </c>
      <c r="I30" s="2"/>
      <c r="J30" s="6"/>
    </row>
    <row r="31" spans="1:1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1" x14ac:dyDescent="0.3">
      <c r="A32" s="6" t="s">
        <v>83</v>
      </c>
      <c r="B32" s="28">
        <f t="shared" ref="B32:B35" si="2">$B$13</f>
        <v>45658</v>
      </c>
      <c r="C32" s="28">
        <f t="shared" ref="C32:C35" si="3">$C$13</f>
        <v>46022</v>
      </c>
      <c r="D32" s="6">
        <f t="shared" ref="D32:D33" si="4">C32-B32</f>
        <v>364</v>
      </c>
      <c r="E32" s="6" t="s">
        <v>33</v>
      </c>
      <c r="F32" s="80">
        <v>19.02</v>
      </c>
      <c r="G32" s="6" t="s">
        <v>34</v>
      </c>
      <c r="H32" s="26">
        <f t="shared" ref="H32:H33" si="5">D32*F32/365</f>
        <v>18.967890410958905</v>
      </c>
      <c r="I32" s="6">
        <v>20</v>
      </c>
      <c r="J32" s="6"/>
    </row>
    <row r="33" spans="1:10" x14ac:dyDescent="0.3">
      <c r="A33" s="6" t="s">
        <v>84</v>
      </c>
      <c r="B33" s="28">
        <f t="shared" si="2"/>
        <v>45658</v>
      </c>
      <c r="C33" s="28">
        <f t="shared" si="3"/>
        <v>46022</v>
      </c>
      <c r="D33" s="6">
        <f t="shared" si="4"/>
        <v>364</v>
      </c>
      <c r="E33" s="6" t="s">
        <v>33</v>
      </c>
      <c r="F33" s="80">
        <v>4.6950000000000003</v>
      </c>
      <c r="G33" s="6" t="s">
        <v>34</v>
      </c>
      <c r="H33" s="26">
        <f t="shared" si="5"/>
        <v>4.6821369863013702</v>
      </c>
      <c r="I33" s="6">
        <v>20</v>
      </c>
      <c r="J33" s="6"/>
    </row>
    <row r="34" spans="1:10" x14ac:dyDescent="0.3">
      <c r="A34" s="6" t="s">
        <v>85</v>
      </c>
      <c r="B34" s="28">
        <f t="shared" si="2"/>
        <v>45658</v>
      </c>
      <c r="C34" s="28">
        <f t="shared" si="3"/>
        <v>46022</v>
      </c>
      <c r="D34" s="25">
        <f t="shared" ref="D34:D37" si="6">$F$13</f>
        <v>5000</v>
      </c>
      <c r="E34" s="6" t="s">
        <v>23</v>
      </c>
      <c r="F34" s="80">
        <v>0.73699999999999999</v>
      </c>
      <c r="G34" s="6" t="s">
        <v>30</v>
      </c>
      <c r="H34" s="26">
        <f t="shared" ref="H34" si="7">D34*F34/100</f>
        <v>36.85</v>
      </c>
      <c r="I34" s="6">
        <v>20</v>
      </c>
      <c r="J34" s="6"/>
    </row>
    <row r="35" spans="1:10" x14ac:dyDescent="0.3">
      <c r="A35" s="6" t="s">
        <v>88</v>
      </c>
      <c r="B35" s="28">
        <f t="shared" si="2"/>
        <v>45658</v>
      </c>
      <c r="C35" s="28">
        <f t="shared" si="3"/>
        <v>46022</v>
      </c>
      <c r="D35" s="25">
        <f t="shared" si="6"/>
        <v>5000</v>
      </c>
      <c r="E35" s="6" t="s">
        <v>23</v>
      </c>
      <c r="F35" s="80">
        <v>5.8999999999999997E-2</v>
      </c>
      <c r="G35" s="6" t="s">
        <v>30</v>
      </c>
      <c r="H35" s="26">
        <f t="shared" ref="H35" si="8">D35*F35/100</f>
        <v>2.95</v>
      </c>
      <c r="I35" s="6">
        <v>20</v>
      </c>
      <c r="J35" s="6"/>
    </row>
    <row r="36" spans="1:10" x14ac:dyDescent="0.3">
      <c r="A36" s="6" t="s">
        <v>45</v>
      </c>
      <c r="B36" s="28">
        <f t="shared" ref="B36:B37" si="9">$B$13</f>
        <v>45658</v>
      </c>
      <c r="C36" s="28">
        <f t="shared" ref="C36:C37" si="10">$C$13</f>
        <v>46022</v>
      </c>
      <c r="D36" s="25">
        <f t="shared" si="6"/>
        <v>5000</v>
      </c>
      <c r="E36" s="6" t="s">
        <v>23</v>
      </c>
      <c r="F36" s="6">
        <v>0.42570000000000002</v>
      </c>
      <c r="G36" s="6" t="s">
        <v>30</v>
      </c>
      <c r="H36" s="26">
        <f t="shared" ref="H36:H37" si="11">D36*F36/100</f>
        <v>21.285</v>
      </c>
      <c r="I36" s="6">
        <v>20</v>
      </c>
      <c r="J36" s="6"/>
    </row>
    <row r="37" spans="1:10" x14ac:dyDescent="0.3">
      <c r="A37" s="6" t="s">
        <v>46</v>
      </c>
      <c r="B37" s="28">
        <f t="shared" si="9"/>
        <v>45658</v>
      </c>
      <c r="C37" s="28">
        <f t="shared" si="10"/>
        <v>46022</v>
      </c>
      <c r="D37" s="25">
        <f t="shared" si="6"/>
        <v>5000</v>
      </c>
      <c r="E37" s="6" t="s">
        <v>23</v>
      </c>
      <c r="F37" s="79">
        <v>1.5</v>
      </c>
      <c r="G37" s="6" t="s">
        <v>30</v>
      </c>
      <c r="H37" s="26">
        <f t="shared" si="11"/>
        <v>75</v>
      </c>
      <c r="I37" s="6">
        <v>20</v>
      </c>
      <c r="J37" s="6"/>
    </row>
    <row r="38" spans="1:10" x14ac:dyDescent="0.3">
      <c r="A38" s="3" t="s">
        <v>47</v>
      </c>
      <c r="B38" s="2"/>
      <c r="C38" s="2"/>
      <c r="D38" s="2"/>
      <c r="E38" s="2"/>
      <c r="F38" s="2"/>
      <c r="G38" s="2"/>
      <c r="H38" s="5">
        <f>SUM(H32:H37)</f>
        <v>159.7350273972603</v>
      </c>
      <c r="I38" s="2"/>
      <c r="J38" s="6"/>
    </row>
    <row r="39" spans="1:1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3">
      <c r="A40" s="22" t="s">
        <v>48</v>
      </c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3">
      <c r="A41" s="6" t="s">
        <v>49</v>
      </c>
      <c r="B41" s="6"/>
      <c r="C41" s="6"/>
      <c r="D41" s="6"/>
      <c r="E41" s="6"/>
      <c r="F41" s="6"/>
      <c r="G41" s="6"/>
      <c r="H41" s="27">
        <f>H22+H30+H38</f>
        <v>1454.2685626472385</v>
      </c>
      <c r="I41" s="6"/>
      <c r="J41" s="6"/>
    </row>
    <row r="42" spans="1:10" x14ac:dyDescent="0.3">
      <c r="A42" s="6" t="s">
        <v>50</v>
      </c>
      <c r="B42" s="6"/>
      <c r="C42" s="6"/>
      <c r="D42" s="6"/>
      <c r="E42" s="6"/>
      <c r="F42" s="6"/>
      <c r="G42" s="6"/>
      <c r="H42" s="27">
        <f>H41*0.2</f>
        <v>290.85371252944771</v>
      </c>
      <c r="I42" s="6"/>
      <c r="J42" s="6"/>
    </row>
    <row r="43" spans="1:10" x14ac:dyDescent="0.3">
      <c r="A43" s="6" t="s">
        <v>51</v>
      </c>
      <c r="B43" s="6"/>
      <c r="C43" s="6"/>
      <c r="D43" s="6"/>
      <c r="E43" s="6"/>
      <c r="F43" s="6"/>
      <c r="G43" s="6"/>
      <c r="H43" s="27">
        <f>SUM(H41:H42)</f>
        <v>1745.1222751766861</v>
      </c>
      <c r="I43" s="6"/>
      <c r="J43" s="6"/>
    </row>
    <row r="44" spans="1:10" x14ac:dyDescent="0.3">
      <c r="A44" s="6" t="s">
        <v>3</v>
      </c>
      <c r="B44" s="6"/>
      <c r="C44" s="6"/>
      <c r="D44" s="6"/>
      <c r="E44" s="6"/>
      <c r="F44" s="6"/>
      <c r="G44" s="6"/>
      <c r="H44" s="27">
        <f>H24*1.2</f>
        <v>-82.799999999999983</v>
      </c>
      <c r="I44" s="6"/>
      <c r="J44" s="6"/>
    </row>
    <row r="45" spans="1:10" x14ac:dyDescent="0.3">
      <c r="A45" s="2"/>
      <c r="B45" s="2"/>
      <c r="C45" s="2"/>
      <c r="D45" s="2"/>
      <c r="E45" s="2"/>
      <c r="F45" s="2"/>
      <c r="G45" s="30" t="s">
        <v>52</v>
      </c>
      <c r="H45" s="5">
        <f>SUM(H43:H44)</f>
        <v>1662.3222751766862</v>
      </c>
      <c r="I45" s="2"/>
      <c r="J45" s="6"/>
    </row>
    <row r="46" spans="1:1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4">
    <mergeCell ref="D12:E12"/>
    <mergeCell ref="F12:G12"/>
    <mergeCell ref="B12:C12"/>
    <mergeCell ref="B16:C16"/>
  </mergeCells>
  <pageMargins left="0.7" right="0.7" top="0.78740157499999996" bottom="0.78740157499999996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6F67-0E28-446A-A69E-28482FC2180C}">
  <sheetPr>
    <pageSetUpPr fitToPage="1"/>
  </sheetPr>
  <dimension ref="A1:R49"/>
  <sheetViews>
    <sheetView topLeftCell="A12" zoomScaleNormal="100" workbookViewId="0">
      <selection activeCell="R40" sqref="R40"/>
    </sheetView>
  </sheetViews>
  <sheetFormatPr baseColWidth="10" defaultColWidth="11.5546875" defaultRowHeight="14.4" x14ac:dyDescent="0.3"/>
  <cols>
    <col min="1" max="1" width="28.21875" style="1" customWidth="1"/>
    <col min="2" max="3" width="11.88671875" style="1" customWidth="1"/>
    <col min="4" max="4" width="11.5546875" style="1"/>
    <col min="5" max="5" width="11.6640625" style="1" customWidth="1"/>
    <col min="6" max="6" width="11.5546875" style="1" customWidth="1"/>
    <col min="7" max="7" width="11.5546875" style="1"/>
    <col min="8" max="8" width="12.77734375" style="1" customWidth="1"/>
    <col min="9" max="9" width="6.5546875" style="1" customWidth="1"/>
    <col min="10" max="10" width="3.33203125" style="1" customWidth="1"/>
    <col min="11" max="12" width="10.33203125" style="1" customWidth="1"/>
    <col min="13" max="14" width="11.5546875" style="6"/>
    <col min="15" max="15" width="12.77734375" style="6" customWidth="1"/>
    <col min="16" max="16" width="6.33203125" style="6" customWidth="1"/>
    <col min="17" max="17" width="7.77734375" style="6" customWidth="1"/>
    <col min="18" max="16384" width="11.5546875" style="1"/>
  </cols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7" ht="18" x14ac:dyDescent="0.3">
      <c r="A2" s="7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7" x14ac:dyDescent="0.3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7" x14ac:dyDescent="0.3">
      <c r="A4" s="22" t="s">
        <v>31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7" x14ac:dyDescent="0.3">
      <c r="A5" s="6" t="s">
        <v>10</v>
      </c>
      <c r="B5" s="6" t="s">
        <v>77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x14ac:dyDescent="0.3">
      <c r="A6" s="6" t="s">
        <v>11</v>
      </c>
      <c r="B6" s="6" t="s">
        <v>12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x14ac:dyDescent="0.3">
      <c r="A7" s="6" t="s">
        <v>13</v>
      </c>
      <c r="B7" s="23">
        <v>7</v>
      </c>
      <c r="C7" s="23"/>
      <c r="D7" s="6"/>
      <c r="E7" s="6"/>
      <c r="F7" s="6"/>
      <c r="G7" s="6"/>
      <c r="H7" s="6"/>
      <c r="I7" s="6"/>
      <c r="J7" s="6"/>
      <c r="K7" s="6"/>
      <c r="L7" s="6"/>
    </row>
    <row r="8" spans="1:17" x14ac:dyDescent="0.3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7" x14ac:dyDescent="0.3">
      <c r="A9" s="6" t="s">
        <v>16</v>
      </c>
      <c r="B9" s="6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7" x14ac:dyDescent="0.3">
      <c r="A11" s="22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7" x14ac:dyDescent="0.3">
      <c r="A12" s="4" t="s">
        <v>18</v>
      </c>
      <c r="B12" s="109" t="s">
        <v>19</v>
      </c>
      <c r="C12" s="109"/>
      <c r="D12" s="109" t="s">
        <v>20</v>
      </c>
      <c r="E12" s="109"/>
      <c r="F12" s="109" t="s">
        <v>56</v>
      </c>
      <c r="G12" s="109"/>
      <c r="H12" s="51">
        <f>1-O12</f>
        <v>0.6</v>
      </c>
      <c r="I12" s="2"/>
      <c r="J12" s="6"/>
      <c r="K12" s="6"/>
      <c r="L12" s="6"/>
      <c r="M12" s="111" t="s">
        <v>57</v>
      </c>
      <c r="N12" s="111"/>
      <c r="O12" s="52">
        <f>Deckblatt!J17</f>
        <v>0.4</v>
      </c>
      <c r="Q12" s="110" t="s">
        <v>59</v>
      </c>
    </row>
    <row r="13" spans="1:17" x14ac:dyDescent="0.3">
      <c r="A13" s="6" t="s">
        <v>22</v>
      </c>
      <c r="B13" s="24">
        <f>'Detail SAG'!B13</f>
        <v>45658</v>
      </c>
      <c r="C13" s="24">
        <f>'Detail SAG'!C13</f>
        <v>46022</v>
      </c>
      <c r="D13" s="25">
        <f>'Detail SAG'!D13</f>
        <v>2665.482</v>
      </c>
      <c r="E13" s="25">
        <f>'Detail SAG'!E13</f>
        <v>7665.482</v>
      </c>
      <c r="F13" s="25">
        <f>E13-D13</f>
        <v>5000</v>
      </c>
      <c r="G13" s="6" t="s">
        <v>23</v>
      </c>
      <c r="H13" s="6"/>
      <c r="I13" s="6"/>
      <c r="J13" s="6"/>
      <c r="K13" s="6"/>
      <c r="L13" s="6"/>
      <c r="M13" s="25">
        <f>F13*O12</f>
        <v>2000</v>
      </c>
      <c r="N13" s="6" t="s">
        <v>23</v>
      </c>
      <c r="Q13" s="110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Q14" s="110"/>
    </row>
    <row r="15" spans="1:17" x14ac:dyDescent="0.3">
      <c r="A15" s="22" t="s">
        <v>24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Q15" s="110"/>
    </row>
    <row r="16" spans="1:17" ht="28.8" x14ac:dyDescent="0.3">
      <c r="A16" s="2"/>
      <c r="B16" s="109" t="s">
        <v>26</v>
      </c>
      <c r="C16" s="109"/>
      <c r="D16" s="4" t="s">
        <v>5</v>
      </c>
      <c r="E16" s="4" t="s">
        <v>27</v>
      </c>
      <c r="F16" s="4" t="s">
        <v>28</v>
      </c>
      <c r="G16" s="4" t="s">
        <v>27</v>
      </c>
      <c r="H16" s="47" t="s">
        <v>63</v>
      </c>
      <c r="I16" s="4" t="s">
        <v>29</v>
      </c>
      <c r="J16" s="6"/>
      <c r="K16" s="31" t="s">
        <v>5</v>
      </c>
      <c r="L16" s="31" t="s">
        <v>27</v>
      </c>
      <c r="M16" s="31" t="s">
        <v>28</v>
      </c>
      <c r="N16" s="31" t="s">
        <v>27</v>
      </c>
      <c r="O16" s="48" t="s">
        <v>63</v>
      </c>
      <c r="P16" s="31" t="s">
        <v>29</v>
      </c>
      <c r="Q16" s="110"/>
    </row>
    <row r="17" spans="1:18" x14ac:dyDescent="0.3">
      <c r="A17" s="6" t="s">
        <v>25</v>
      </c>
      <c r="B17" s="24">
        <f>B13</f>
        <v>45658</v>
      </c>
      <c r="C17" s="24">
        <f>C13</f>
        <v>46022</v>
      </c>
      <c r="D17" s="25">
        <f>F13-M13</f>
        <v>3000</v>
      </c>
      <c r="E17" s="6" t="s">
        <v>23</v>
      </c>
      <c r="F17" s="22">
        <f>'Detail SAG'!F17</f>
        <v>16.899999999999999</v>
      </c>
      <c r="G17" s="22" t="s">
        <v>30</v>
      </c>
      <c r="H17" s="26">
        <f>D17*F17/100</f>
        <v>506.99999999999994</v>
      </c>
      <c r="I17" s="6">
        <v>20</v>
      </c>
      <c r="J17" s="6"/>
      <c r="K17" s="25">
        <f>M13</f>
        <v>2000</v>
      </c>
      <c r="L17" s="6" t="s">
        <v>23</v>
      </c>
      <c r="M17" s="58">
        <v>11</v>
      </c>
      <c r="N17" s="22" t="s">
        <v>30</v>
      </c>
      <c r="O17" s="26">
        <f>M13*M17/100</f>
        <v>220</v>
      </c>
      <c r="P17" s="6">
        <v>0</v>
      </c>
      <c r="Q17" s="110"/>
    </row>
    <row r="18" spans="1:18" x14ac:dyDescent="0.3">
      <c r="A18" s="6" t="s">
        <v>32</v>
      </c>
      <c r="B18" s="24">
        <f>B13</f>
        <v>45658</v>
      </c>
      <c r="C18" s="24">
        <f>C13</f>
        <v>46022</v>
      </c>
      <c r="D18" s="6">
        <f>C18-B18</f>
        <v>364</v>
      </c>
      <c r="E18" s="6" t="s">
        <v>33</v>
      </c>
      <c r="F18" s="22">
        <f>'Detail SAG'!F18</f>
        <v>30</v>
      </c>
      <c r="G18" s="22" t="s">
        <v>34</v>
      </c>
      <c r="H18" s="26">
        <f>D18*F18/365</f>
        <v>29.917808219178081</v>
      </c>
      <c r="I18" s="6">
        <v>20</v>
      </c>
      <c r="J18" s="6"/>
      <c r="K18" s="6">
        <f>D18</f>
        <v>364</v>
      </c>
      <c r="L18" s="6" t="s">
        <v>33</v>
      </c>
      <c r="M18" s="58">
        <v>12</v>
      </c>
      <c r="N18" s="22" t="s">
        <v>34</v>
      </c>
      <c r="O18" s="26">
        <f>D18*M18/365</f>
        <v>11.967123287671233</v>
      </c>
      <c r="P18" s="6">
        <v>0</v>
      </c>
      <c r="Q18" s="110"/>
    </row>
    <row r="19" spans="1:18" x14ac:dyDescent="0.3">
      <c r="A19" s="6" t="s">
        <v>35</v>
      </c>
      <c r="B19" s="6"/>
      <c r="C19" s="6"/>
      <c r="D19" s="6"/>
      <c r="E19" s="6"/>
      <c r="F19" s="6"/>
      <c r="G19" s="49" t="s">
        <v>38</v>
      </c>
      <c r="H19" s="27">
        <f>-74.13/(208+1191+485)*H17</f>
        <v>-19.948996815286623</v>
      </c>
      <c r="I19" s="6">
        <v>20</v>
      </c>
      <c r="J19" s="6"/>
      <c r="K19" s="6"/>
      <c r="L19" s="6"/>
      <c r="Q19" s="110"/>
    </row>
    <row r="20" spans="1:18" x14ac:dyDescent="0.3">
      <c r="A20" s="6" t="s">
        <v>36</v>
      </c>
      <c r="B20" s="6"/>
      <c r="C20" s="6"/>
      <c r="D20" s="6"/>
      <c r="E20" s="6"/>
      <c r="F20" s="6"/>
      <c r="G20" s="49" t="s">
        <v>38</v>
      </c>
      <c r="H20" s="27">
        <f>-15.74/(208+1191+485)*H17</f>
        <v>-4.2357643312101905</v>
      </c>
      <c r="I20" s="6">
        <v>20</v>
      </c>
      <c r="J20" s="6"/>
      <c r="K20" s="6"/>
      <c r="L20" s="6"/>
      <c r="Q20" s="110"/>
    </row>
    <row r="21" spans="1:18" x14ac:dyDescent="0.3">
      <c r="A21" s="6" t="s">
        <v>37</v>
      </c>
      <c r="B21" s="6"/>
      <c r="C21" s="6"/>
      <c r="D21" s="6"/>
      <c r="E21" s="6"/>
      <c r="F21" s="6"/>
      <c r="G21" s="49" t="s">
        <v>38</v>
      </c>
      <c r="H21" s="27">
        <f>-31.48/(208+1191+485)*H17</f>
        <v>-8.4715286624203809</v>
      </c>
      <c r="I21" s="6">
        <v>20</v>
      </c>
      <c r="J21" s="6"/>
      <c r="K21" s="6"/>
      <c r="L21" s="6"/>
      <c r="Q21" s="110"/>
    </row>
    <row r="22" spans="1:18" x14ac:dyDescent="0.3">
      <c r="A22" s="3" t="s">
        <v>55</v>
      </c>
      <c r="B22" s="2"/>
      <c r="C22" s="2"/>
      <c r="D22" s="2"/>
      <c r="E22" s="2"/>
      <c r="F22" s="2"/>
      <c r="G22" s="2"/>
      <c r="H22" s="5">
        <f>SUM(H17:H21)</f>
        <v>504.26151841026092</v>
      </c>
      <c r="I22" s="2"/>
      <c r="J22" s="6"/>
      <c r="K22" s="6"/>
      <c r="L22" s="6"/>
      <c r="O22" s="32">
        <f>SUM(O17:O21)</f>
        <v>231.96712328767123</v>
      </c>
      <c r="P22" s="33"/>
      <c r="Q22" s="110"/>
    </row>
    <row r="23" spans="1:18" x14ac:dyDescent="0.3">
      <c r="A23" s="6" t="s">
        <v>3</v>
      </c>
      <c r="B23" s="28">
        <f>B13</f>
        <v>45658</v>
      </c>
      <c r="C23" s="28">
        <f>C13</f>
        <v>46022</v>
      </c>
      <c r="D23" s="25">
        <f>MIN(D17,1000)</f>
        <v>1000</v>
      </c>
      <c r="E23" s="6" t="s">
        <v>23</v>
      </c>
      <c r="F23" s="22">
        <f>'Detail SAG'!F23</f>
        <v>6.8999999999999986</v>
      </c>
      <c r="G23" s="22" t="s">
        <v>30</v>
      </c>
      <c r="H23" s="26">
        <f>-D23*F23/100</f>
        <v>-68.999999999999986</v>
      </c>
      <c r="I23" s="6">
        <v>20</v>
      </c>
      <c r="J23" s="6"/>
      <c r="K23" s="6"/>
      <c r="L23" s="6"/>
    </row>
    <row r="24" spans="1:18" x14ac:dyDescent="0.3">
      <c r="A24" s="3" t="s">
        <v>39</v>
      </c>
      <c r="B24" s="2"/>
      <c r="C24" s="2"/>
      <c r="D24" s="2"/>
      <c r="E24" s="2"/>
      <c r="F24" s="2"/>
      <c r="G24" s="2"/>
      <c r="H24" s="5">
        <f>H23</f>
        <v>-68.999999999999986</v>
      </c>
      <c r="I24" s="2"/>
      <c r="J24" s="6"/>
      <c r="K24" s="6"/>
      <c r="L24" s="111" t="s">
        <v>58</v>
      </c>
      <c r="M24" s="111"/>
      <c r="O24" s="32">
        <v>0</v>
      </c>
      <c r="P24" s="33"/>
      <c r="Q24" s="110" t="s">
        <v>60</v>
      </c>
    </row>
    <row r="25" spans="1:18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Q25" s="110"/>
    </row>
    <row r="26" spans="1:18" x14ac:dyDescent="0.3">
      <c r="A26" s="6" t="s">
        <v>40</v>
      </c>
      <c r="B26" s="28">
        <f>$B$13</f>
        <v>45658</v>
      </c>
      <c r="C26" s="28">
        <f>$C$13</f>
        <v>46022</v>
      </c>
      <c r="D26" s="6">
        <f>C26-B26</f>
        <v>364</v>
      </c>
      <c r="E26" s="6" t="s">
        <v>33</v>
      </c>
      <c r="F26" s="74">
        <f>'Detail SAG'!F26</f>
        <v>48</v>
      </c>
      <c r="G26" s="6" t="s">
        <v>34</v>
      </c>
      <c r="H26" s="26">
        <f>D26*F26/365</f>
        <v>47.868493150684934</v>
      </c>
      <c r="I26" s="6">
        <v>20</v>
      </c>
      <c r="J26" s="6"/>
      <c r="K26" s="6">
        <f>D26</f>
        <v>364</v>
      </c>
      <c r="L26" s="6" t="s">
        <v>33</v>
      </c>
      <c r="M26" s="6">
        <v>0</v>
      </c>
      <c r="N26" s="6" t="s">
        <v>34</v>
      </c>
      <c r="O26" s="26">
        <f>K26*M26/365</f>
        <v>0</v>
      </c>
      <c r="P26" s="6">
        <v>20</v>
      </c>
      <c r="Q26" s="110"/>
    </row>
    <row r="27" spans="1:18" x14ac:dyDescent="0.3">
      <c r="A27" s="6" t="s">
        <v>41</v>
      </c>
      <c r="B27" s="28">
        <f t="shared" ref="B27:B29" si="0">$B$13</f>
        <v>45658</v>
      </c>
      <c r="C27" s="28">
        <f t="shared" ref="C27:C29" si="1">$C$13</f>
        <v>46022</v>
      </c>
      <c r="D27" s="25">
        <f>$D$17</f>
        <v>3000</v>
      </c>
      <c r="E27" s="6" t="s">
        <v>23</v>
      </c>
      <c r="F27" s="74">
        <f>'Detail SAG'!F27</f>
        <v>7.47</v>
      </c>
      <c r="G27" s="6" t="s">
        <v>30</v>
      </c>
      <c r="H27" s="26">
        <f>D27*F27/100</f>
        <v>224.1</v>
      </c>
      <c r="I27" s="6">
        <v>20</v>
      </c>
      <c r="J27" s="6"/>
      <c r="K27" s="25">
        <f>$M$13</f>
        <v>2000</v>
      </c>
      <c r="L27" s="6" t="s">
        <v>23</v>
      </c>
      <c r="M27" s="50">
        <v>5.38</v>
      </c>
      <c r="N27" s="6" t="s">
        <v>30</v>
      </c>
      <c r="O27" s="26">
        <f>K27*M27/100</f>
        <v>107.6</v>
      </c>
      <c r="P27" s="6">
        <v>20</v>
      </c>
      <c r="Q27" s="110"/>
      <c r="R27" s="6"/>
    </row>
    <row r="28" spans="1:18" x14ac:dyDescent="0.3">
      <c r="A28" s="6" t="s">
        <v>42</v>
      </c>
      <c r="B28" s="28">
        <f t="shared" si="0"/>
        <v>45658</v>
      </c>
      <c r="C28" s="28">
        <f t="shared" si="1"/>
        <v>46022</v>
      </c>
      <c r="D28" s="25">
        <f>$D$17</f>
        <v>3000</v>
      </c>
      <c r="E28" s="6" t="s">
        <v>23</v>
      </c>
      <c r="F28" s="74">
        <f>'Detail SAG'!F28</f>
        <v>0.503</v>
      </c>
      <c r="G28" s="6" t="s">
        <v>30</v>
      </c>
      <c r="H28" s="26">
        <f>D28*F28/100</f>
        <v>15.09</v>
      </c>
      <c r="I28" s="6">
        <v>20</v>
      </c>
      <c r="J28" s="6"/>
      <c r="K28" s="25">
        <f>$M$13</f>
        <v>2000</v>
      </c>
      <c r="L28" s="6" t="s">
        <v>23</v>
      </c>
      <c r="M28" s="6">
        <f>F28</f>
        <v>0.503</v>
      </c>
      <c r="N28" s="6" t="s">
        <v>30</v>
      </c>
      <c r="O28" s="26">
        <f>K28*M28/100</f>
        <v>10.06</v>
      </c>
      <c r="P28" s="6">
        <v>20</v>
      </c>
      <c r="Q28" s="110"/>
    </row>
    <row r="29" spans="1:18" x14ac:dyDescent="0.3">
      <c r="A29" s="6" t="s">
        <v>43</v>
      </c>
      <c r="B29" s="28">
        <f t="shared" si="0"/>
        <v>45658</v>
      </c>
      <c r="C29" s="28">
        <f t="shared" si="1"/>
        <v>46022</v>
      </c>
      <c r="D29" s="6">
        <f>C29-B29</f>
        <v>364</v>
      </c>
      <c r="E29" s="6" t="s">
        <v>33</v>
      </c>
      <c r="F29" s="74">
        <f>'Detail SAG'!F29</f>
        <v>27.599999999999998</v>
      </c>
      <c r="G29" s="6" t="s">
        <v>34</v>
      </c>
      <c r="H29" s="26">
        <f>D29*F29/365</f>
        <v>27.524383561643834</v>
      </c>
      <c r="I29" s="6">
        <v>20</v>
      </c>
      <c r="J29" s="6"/>
      <c r="K29" s="6">
        <f>C29-B29</f>
        <v>364</v>
      </c>
      <c r="L29" s="6" t="s">
        <v>33</v>
      </c>
      <c r="M29" s="6">
        <v>0</v>
      </c>
      <c r="N29" s="6" t="s">
        <v>34</v>
      </c>
      <c r="O29" s="26">
        <f>K29*M29/365</f>
        <v>0</v>
      </c>
      <c r="P29" s="6">
        <v>20</v>
      </c>
      <c r="Q29" s="110"/>
    </row>
    <row r="30" spans="1:18" x14ac:dyDescent="0.3">
      <c r="A30" s="3" t="s">
        <v>44</v>
      </c>
      <c r="B30" s="2"/>
      <c r="C30" s="2"/>
      <c r="D30" s="2"/>
      <c r="E30" s="2"/>
      <c r="F30" s="2"/>
      <c r="G30" s="2"/>
      <c r="H30" s="5">
        <f>SUM(H26:H29)</f>
        <v>314.58287671232875</v>
      </c>
      <c r="I30" s="2"/>
      <c r="J30" s="6"/>
      <c r="K30" s="33"/>
      <c r="L30" s="33"/>
      <c r="M30" s="33"/>
      <c r="N30" s="33"/>
      <c r="O30" s="32">
        <f>SUM(O26:O29)</f>
        <v>117.66</v>
      </c>
      <c r="P30" s="33"/>
      <c r="Q30" s="110"/>
    </row>
    <row r="31" spans="1:18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Q31" s="110"/>
    </row>
    <row r="32" spans="1:18" x14ac:dyDescent="0.3">
      <c r="A32" s="6" t="s">
        <v>83</v>
      </c>
      <c r="B32" s="28">
        <f t="shared" ref="B32:B35" si="2">$B$13</f>
        <v>45658</v>
      </c>
      <c r="C32" s="28">
        <f t="shared" ref="C32:C35" si="3">$C$13</f>
        <v>46022</v>
      </c>
      <c r="D32" s="6">
        <f>'Detail SAG'!D32</f>
        <v>364</v>
      </c>
      <c r="E32" s="6" t="s">
        <v>33</v>
      </c>
      <c r="F32" s="80">
        <f>'Detail SAG'!F32</f>
        <v>19.02</v>
      </c>
      <c r="G32" s="6" t="s">
        <v>34</v>
      </c>
      <c r="H32" s="26">
        <f t="shared" ref="H32:H33" si="4">D32*F32/365</f>
        <v>18.967890410958905</v>
      </c>
      <c r="I32" s="6">
        <v>20</v>
      </c>
      <c r="J32" s="6"/>
      <c r="K32" s="6">
        <f t="shared" ref="K32:K33" si="5">D32</f>
        <v>364</v>
      </c>
      <c r="L32" s="6" t="s">
        <v>33</v>
      </c>
      <c r="M32" s="6">
        <v>0</v>
      </c>
      <c r="N32" s="6" t="s">
        <v>30</v>
      </c>
      <c r="O32" s="26">
        <f t="shared" ref="O32:O34" si="6">K32*M32/100</f>
        <v>0</v>
      </c>
      <c r="P32" s="6">
        <v>20</v>
      </c>
      <c r="Q32" s="110"/>
    </row>
    <row r="33" spans="1:17" x14ac:dyDescent="0.3">
      <c r="A33" s="6" t="s">
        <v>84</v>
      </c>
      <c r="B33" s="28">
        <f t="shared" si="2"/>
        <v>45658</v>
      </c>
      <c r="C33" s="28">
        <f t="shared" si="3"/>
        <v>46022</v>
      </c>
      <c r="D33" s="6">
        <f>'Detail SAG'!D33</f>
        <v>364</v>
      </c>
      <c r="E33" s="6" t="s">
        <v>33</v>
      </c>
      <c r="F33" s="80">
        <f>'Detail SAG'!F33</f>
        <v>4.6950000000000003</v>
      </c>
      <c r="G33" s="6" t="s">
        <v>34</v>
      </c>
      <c r="H33" s="26">
        <f t="shared" si="4"/>
        <v>4.6821369863013702</v>
      </c>
      <c r="I33" s="6">
        <v>20</v>
      </c>
      <c r="J33" s="6"/>
      <c r="K33" s="6">
        <f t="shared" si="5"/>
        <v>364</v>
      </c>
      <c r="L33" s="6" t="s">
        <v>33</v>
      </c>
      <c r="M33" s="6">
        <v>0</v>
      </c>
      <c r="N33" s="6" t="s">
        <v>30</v>
      </c>
      <c r="O33" s="26">
        <f t="shared" si="6"/>
        <v>0</v>
      </c>
      <c r="P33" s="6">
        <v>20</v>
      </c>
      <c r="Q33" s="110"/>
    </row>
    <row r="34" spans="1:17" x14ac:dyDescent="0.3">
      <c r="A34" s="6" t="s">
        <v>85</v>
      </c>
      <c r="B34" s="28">
        <f t="shared" si="2"/>
        <v>45658</v>
      </c>
      <c r="C34" s="28">
        <f t="shared" si="3"/>
        <v>46022</v>
      </c>
      <c r="D34" s="25">
        <f t="shared" ref="D34:D37" si="7">$D$17</f>
        <v>3000</v>
      </c>
      <c r="E34" s="6" t="s">
        <v>23</v>
      </c>
      <c r="F34" s="80">
        <f>'Detail SAG'!F34</f>
        <v>0.73699999999999999</v>
      </c>
      <c r="G34" s="6" t="s">
        <v>30</v>
      </c>
      <c r="H34" s="26">
        <f t="shared" ref="H34:H37" si="8">D34*F34/100</f>
        <v>22.11</v>
      </c>
      <c r="I34" s="6">
        <v>20</v>
      </c>
      <c r="J34" s="6"/>
      <c r="K34" s="25">
        <f>$M$13</f>
        <v>2000</v>
      </c>
      <c r="L34" s="6" t="s">
        <v>23</v>
      </c>
      <c r="M34" s="22">
        <v>0</v>
      </c>
      <c r="N34" s="6" t="s">
        <v>30</v>
      </c>
      <c r="O34" s="26">
        <f t="shared" si="6"/>
        <v>0</v>
      </c>
      <c r="P34" s="6">
        <v>20</v>
      </c>
      <c r="Q34" s="110"/>
    </row>
    <row r="35" spans="1:17" x14ac:dyDescent="0.3">
      <c r="A35" s="6" t="s">
        <v>88</v>
      </c>
      <c r="B35" s="28">
        <f t="shared" si="2"/>
        <v>45658</v>
      </c>
      <c r="C35" s="28">
        <f t="shared" si="3"/>
        <v>46022</v>
      </c>
      <c r="D35" s="25">
        <f t="shared" si="7"/>
        <v>3000</v>
      </c>
      <c r="E35" s="6" t="s">
        <v>23</v>
      </c>
      <c r="F35" s="80">
        <v>5.8999999999999997E-2</v>
      </c>
      <c r="G35" s="6" t="s">
        <v>30</v>
      </c>
      <c r="H35" s="26">
        <f t="shared" si="8"/>
        <v>1.77</v>
      </c>
      <c r="I35" s="6">
        <v>20</v>
      </c>
      <c r="J35" s="6"/>
      <c r="K35" s="25">
        <f>$M$13</f>
        <v>2000</v>
      </c>
      <c r="L35" s="6" t="s">
        <v>23</v>
      </c>
      <c r="M35" s="22">
        <v>0</v>
      </c>
      <c r="N35" s="6" t="s">
        <v>30</v>
      </c>
      <c r="O35" s="26">
        <f t="shared" ref="O35" si="9">K35*M35/100</f>
        <v>0</v>
      </c>
      <c r="P35" s="6">
        <v>20</v>
      </c>
      <c r="Q35" s="110"/>
    </row>
    <row r="36" spans="1:17" x14ac:dyDescent="0.3">
      <c r="A36" s="6" t="s">
        <v>45</v>
      </c>
      <c r="B36" s="28">
        <f t="shared" ref="B36:B37" si="10">$B$13</f>
        <v>45658</v>
      </c>
      <c r="C36" s="28">
        <f t="shared" ref="C36:C37" si="11">$C$13</f>
        <v>46022</v>
      </c>
      <c r="D36" s="25">
        <f t="shared" si="7"/>
        <v>3000</v>
      </c>
      <c r="E36" s="6" t="s">
        <v>23</v>
      </c>
      <c r="F36" s="80">
        <f>'Detail SAG'!F36</f>
        <v>0.42570000000000002</v>
      </c>
      <c r="G36" s="6" t="s">
        <v>30</v>
      </c>
      <c r="H36" s="26">
        <f t="shared" si="8"/>
        <v>12.771000000000001</v>
      </c>
      <c r="I36" s="6">
        <v>20</v>
      </c>
      <c r="J36" s="6"/>
      <c r="K36" s="25">
        <f>$M$13</f>
        <v>2000</v>
      </c>
      <c r="L36" s="6" t="s">
        <v>23</v>
      </c>
      <c r="M36" s="6">
        <f t="shared" ref="M36" si="12">F36</f>
        <v>0.42570000000000002</v>
      </c>
      <c r="N36" s="6" t="s">
        <v>30</v>
      </c>
      <c r="O36" s="26">
        <f t="shared" ref="O36:O37" si="13">K36*M36/100</f>
        <v>8.5140000000000011</v>
      </c>
      <c r="P36" s="6">
        <v>20</v>
      </c>
      <c r="Q36" s="110"/>
    </row>
    <row r="37" spans="1:17" x14ac:dyDescent="0.3">
      <c r="A37" s="6" t="s">
        <v>46</v>
      </c>
      <c r="B37" s="28">
        <f t="shared" si="10"/>
        <v>45658</v>
      </c>
      <c r="C37" s="28">
        <f t="shared" si="11"/>
        <v>46022</v>
      </c>
      <c r="D37" s="25">
        <f t="shared" si="7"/>
        <v>3000</v>
      </c>
      <c r="E37" s="6" t="s">
        <v>23</v>
      </c>
      <c r="F37" s="80">
        <f>'Detail SAG'!F37</f>
        <v>1.5</v>
      </c>
      <c r="G37" s="6" t="s">
        <v>30</v>
      </c>
      <c r="H37" s="26">
        <f t="shared" si="8"/>
        <v>45</v>
      </c>
      <c r="I37" s="6">
        <v>20</v>
      </c>
      <c r="J37" s="6"/>
      <c r="K37" s="25">
        <f>$M$13</f>
        <v>2000</v>
      </c>
      <c r="L37" s="6" t="s">
        <v>23</v>
      </c>
      <c r="M37" s="22">
        <v>0</v>
      </c>
      <c r="N37" s="6" t="s">
        <v>30</v>
      </c>
      <c r="O37" s="26">
        <f t="shared" si="13"/>
        <v>0</v>
      </c>
      <c r="P37" s="6">
        <v>20</v>
      </c>
      <c r="Q37" s="110"/>
    </row>
    <row r="38" spans="1:17" x14ac:dyDescent="0.3">
      <c r="A38" s="3" t="s">
        <v>47</v>
      </c>
      <c r="B38" s="2"/>
      <c r="C38" s="2"/>
      <c r="D38" s="2"/>
      <c r="E38" s="2"/>
      <c r="F38" s="2"/>
      <c r="G38" s="2"/>
      <c r="H38" s="5">
        <f>SUM(H32:H37)</f>
        <v>105.30102739726027</v>
      </c>
      <c r="I38" s="2"/>
      <c r="J38" s="6"/>
      <c r="K38" s="33"/>
      <c r="L38" s="33"/>
      <c r="M38" s="33"/>
      <c r="N38" s="33"/>
      <c r="O38" s="32">
        <f>SUM(O32:O37)</f>
        <v>8.5140000000000011</v>
      </c>
      <c r="P38" s="33"/>
      <c r="Q38" s="110"/>
    </row>
    <row r="39" spans="1:17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7" x14ac:dyDescent="0.3">
      <c r="A40" s="22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"/>
    </row>
    <row r="41" spans="1:17" x14ac:dyDescent="0.3">
      <c r="A41" s="6" t="s">
        <v>49</v>
      </c>
      <c r="B41" s="6"/>
      <c r="C41" s="6"/>
      <c r="D41" s="6"/>
      <c r="E41" s="6"/>
      <c r="F41" s="6"/>
      <c r="G41" s="6"/>
      <c r="H41" s="27">
        <f>H22+H30+H38</f>
        <v>924.14542251984994</v>
      </c>
      <c r="I41" s="6"/>
      <c r="J41" s="6"/>
      <c r="K41" s="6"/>
      <c r="L41" s="67" t="s">
        <v>78</v>
      </c>
      <c r="M41" s="67"/>
      <c r="O41" s="27">
        <f>O30+O38</f>
        <v>126.17399999999999</v>
      </c>
    </row>
    <row r="42" spans="1:17" x14ac:dyDescent="0.3">
      <c r="A42" s="6" t="s">
        <v>50</v>
      </c>
      <c r="B42" s="6"/>
      <c r="C42" s="6"/>
      <c r="D42" s="6"/>
      <c r="E42" s="6"/>
      <c r="F42" s="6"/>
      <c r="G42" s="6"/>
      <c r="H42" s="27">
        <f>H41*0.2</f>
        <v>184.82908450396999</v>
      </c>
      <c r="I42" s="6"/>
      <c r="J42" s="6"/>
      <c r="K42" s="6"/>
      <c r="L42" s="6"/>
      <c r="O42" s="27">
        <f>O41*0.2</f>
        <v>25.2348</v>
      </c>
    </row>
    <row r="43" spans="1:17" x14ac:dyDescent="0.3">
      <c r="A43" s="6" t="s">
        <v>51</v>
      </c>
      <c r="B43" s="6"/>
      <c r="C43" s="6"/>
      <c r="D43" s="6"/>
      <c r="E43" s="6"/>
      <c r="F43" s="6"/>
      <c r="G43" s="6"/>
      <c r="H43" s="27">
        <f>SUM(H41:H42)</f>
        <v>1108.97450702382</v>
      </c>
      <c r="I43" s="6"/>
      <c r="J43" s="6"/>
      <c r="K43" s="6"/>
      <c r="L43" s="6"/>
      <c r="O43" s="27">
        <f>SUM(O41:O42)</f>
        <v>151.40879999999999</v>
      </c>
    </row>
    <row r="44" spans="1:17" x14ac:dyDescent="0.3">
      <c r="A44" s="6" t="s">
        <v>3</v>
      </c>
      <c r="B44" s="6"/>
      <c r="C44" s="6"/>
      <c r="D44" s="6"/>
      <c r="E44" s="6"/>
      <c r="F44" s="6"/>
      <c r="G44" s="6"/>
      <c r="H44" s="27">
        <f>H24*1.2</f>
        <v>-82.799999999999983</v>
      </c>
      <c r="I44" s="6"/>
      <c r="J44" s="6"/>
      <c r="K44" s="6"/>
      <c r="L44" s="6"/>
      <c r="O44" s="27" t="s">
        <v>81</v>
      </c>
    </row>
    <row r="45" spans="1:17" x14ac:dyDescent="0.3">
      <c r="A45" s="2"/>
      <c r="B45" s="2"/>
      <c r="C45" s="2"/>
      <c r="D45" s="2"/>
      <c r="E45" s="2"/>
      <c r="F45" s="2"/>
      <c r="G45" s="30" t="s">
        <v>52</v>
      </c>
      <c r="H45" s="5">
        <f>SUM(H43:H44)</f>
        <v>1026.1745070238201</v>
      </c>
      <c r="I45" s="2"/>
      <c r="J45" s="6"/>
      <c r="K45" s="2"/>
      <c r="L45" s="2"/>
      <c r="M45" s="2"/>
      <c r="N45" s="30" t="s">
        <v>52</v>
      </c>
      <c r="O45" s="5">
        <f>SUM(O43:O44)</f>
        <v>151.40879999999999</v>
      </c>
      <c r="P45" s="2"/>
    </row>
    <row r="46" spans="1:17" ht="8.4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7" x14ac:dyDescent="0.3">
      <c r="A47" s="6"/>
      <c r="B47" s="6"/>
      <c r="C47" s="6"/>
      <c r="D47" s="6"/>
      <c r="E47" s="6"/>
      <c r="F47" s="6"/>
      <c r="G47" s="6"/>
      <c r="H47" s="29" t="s">
        <v>60</v>
      </c>
      <c r="I47" s="6"/>
      <c r="J47" s="6"/>
      <c r="K47" s="6"/>
      <c r="L47" s="6"/>
      <c r="O47" s="29" t="s">
        <v>60</v>
      </c>
    </row>
    <row r="48" spans="1:17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</sheetData>
  <mergeCells count="8">
    <mergeCell ref="Q12:Q22"/>
    <mergeCell ref="Q24:Q38"/>
    <mergeCell ref="B16:C16"/>
    <mergeCell ref="B12:C12"/>
    <mergeCell ref="D12:E12"/>
    <mergeCell ref="F12:G12"/>
    <mergeCell ref="M12:N12"/>
    <mergeCell ref="L24:M24"/>
  </mergeCells>
  <pageMargins left="0.7" right="0.7" top="0.78740157499999996" bottom="0.78740157499999996" header="0.3" footer="0.3"/>
  <pageSetup paperSize="9" scale="6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Deckblatt</vt:lpstr>
      <vt:lpstr>Detail SAG</vt:lpstr>
      <vt:lpstr>Detail SAG+RED</vt:lpstr>
      <vt:lpstr>Deckblatt!Druckbereich</vt:lpstr>
      <vt:lpstr>'Detail SAG'!Druckbereich</vt:lpstr>
      <vt:lpstr>'Detail SAG+RED'!Druckbereich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Hofinger</dc:creator>
  <cp:lastModifiedBy>Johann HOFINGER</cp:lastModifiedBy>
  <cp:lastPrinted>2024-02-12T06:39:18Z</cp:lastPrinted>
  <dcterms:created xsi:type="dcterms:W3CDTF">2015-06-05T18:19:34Z</dcterms:created>
  <dcterms:modified xsi:type="dcterms:W3CDTF">2025-02-16T17:18:24Z</dcterms:modified>
</cp:coreProperties>
</file>